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28830" windowHeight="6105" firstSheet="2" activeTab="4"/>
  </bookViews>
  <sheets>
    <sheet name="Existing" sheetId="1" r:id="rId1"/>
    <sheet name="Existing Graphed" sheetId="2" r:id="rId2"/>
    <sheet name="Proposed Streams" sheetId="3" r:id="rId3"/>
    <sheet name="Proposed Stats" sheetId="4" r:id="rId4"/>
    <sheet name="Proposed Stats v2" sheetId="6" r:id="rId5"/>
    <sheet name="Notes" sheetId="5" r:id="rId6"/>
  </sheets>
  <calcPr calcId="145621"/>
</workbook>
</file>

<file path=xl/calcChain.xml><?xml version="1.0" encoding="utf-8"?>
<calcChain xmlns="http://schemas.openxmlformats.org/spreadsheetml/2006/main">
  <c r="J5" i="6" l="1"/>
  <c r="J8" i="6"/>
  <c r="J11" i="6"/>
  <c r="J14" i="6"/>
  <c r="J18" i="6"/>
  <c r="J20" i="6"/>
  <c r="J23" i="6"/>
  <c r="J25" i="6"/>
  <c r="J28" i="6"/>
  <c r="J31" i="6"/>
  <c r="J34" i="6"/>
  <c r="J37" i="6"/>
  <c r="J38" i="6"/>
  <c r="J41" i="6"/>
  <c r="J44" i="6"/>
  <c r="J47" i="6"/>
  <c r="J48" i="6"/>
  <c r="J50" i="6"/>
  <c r="J51" i="6"/>
  <c r="J54" i="6"/>
  <c r="J56" i="6"/>
  <c r="J57" i="6"/>
  <c r="J2" i="6"/>
  <c r="AB2" i="6" s="1"/>
  <c r="Y6" i="3"/>
  <c r="Y7" i="3"/>
  <c r="Z7" i="3" s="1"/>
  <c r="Y8" i="3"/>
  <c r="Y9" i="3"/>
  <c r="Z9" i="3" s="1"/>
  <c r="Y10" i="3"/>
  <c r="Y11" i="3"/>
  <c r="Z11" i="3" s="1"/>
  <c r="Y12" i="3"/>
  <c r="Y13" i="3"/>
  <c r="Z13" i="3" s="1"/>
  <c r="Y14" i="3"/>
  <c r="Y15" i="3"/>
  <c r="Z15" i="3" s="1"/>
  <c r="Y16" i="3"/>
  <c r="Y17" i="3"/>
  <c r="Z17" i="3" s="1"/>
  <c r="Y18" i="3"/>
  <c r="Y19" i="3"/>
  <c r="Z19" i="3" s="1"/>
  <c r="Y20" i="3"/>
  <c r="Y21" i="3"/>
  <c r="Z21" i="3" s="1"/>
  <c r="Y22" i="3"/>
  <c r="Y23" i="3"/>
  <c r="Z23" i="3" s="1"/>
  <c r="Y24" i="3"/>
  <c r="Y25" i="3"/>
  <c r="Z25" i="3" s="1"/>
  <c r="Y26" i="3"/>
  <c r="Y27" i="3"/>
  <c r="Z27" i="3" s="1"/>
  <c r="Y28" i="3"/>
  <c r="Y29" i="3"/>
  <c r="Z29" i="3" s="1"/>
  <c r="Y30" i="3"/>
  <c r="Y31" i="3"/>
  <c r="Z31" i="3" s="1"/>
  <c r="Y32" i="3"/>
  <c r="Y33" i="3"/>
  <c r="Z33" i="3" s="1"/>
  <c r="Y34" i="3"/>
  <c r="Y35" i="3"/>
  <c r="Z35" i="3" s="1"/>
  <c r="Y36" i="3"/>
  <c r="Y37" i="3"/>
  <c r="Z37" i="3" s="1"/>
  <c r="Y38" i="3"/>
  <c r="Y5" i="3"/>
  <c r="AA39" i="3"/>
  <c r="AA6" i="3"/>
  <c r="AA7" i="3"/>
  <c r="AA8" i="3"/>
  <c r="AA9" i="3"/>
  <c r="AA10" i="3"/>
  <c r="AA11" i="3"/>
  <c r="AA12" i="3"/>
  <c r="AA13" i="3"/>
  <c r="AA14" i="3"/>
  <c r="AA15" i="3"/>
  <c r="AA16" i="3"/>
  <c r="AA17" i="3"/>
  <c r="AA18" i="3"/>
  <c r="AA19" i="3"/>
  <c r="AA20" i="3"/>
  <c r="AA21" i="3"/>
  <c r="AA22" i="3"/>
  <c r="AA23" i="3"/>
  <c r="AA24" i="3"/>
  <c r="AA25" i="3"/>
  <c r="AA26" i="3"/>
  <c r="AA27" i="3"/>
  <c r="AA28" i="3"/>
  <c r="AA29" i="3"/>
  <c r="AA30" i="3"/>
  <c r="AA31" i="3"/>
  <c r="AA32" i="3"/>
  <c r="AA33" i="3"/>
  <c r="AA34" i="3"/>
  <c r="AA35" i="3"/>
  <c r="AA36" i="3"/>
  <c r="AA37" i="3"/>
  <c r="AA38" i="3"/>
  <c r="AA5" i="3"/>
  <c r="X6" i="3"/>
  <c r="X7" i="3"/>
  <c r="X8" i="3"/>
  <c r="X9" i="3"/>
  <c r="X10" i="3"/>
  <c r="X11" i="3"/>
  <c r="X12" i="3"/>
  <c r="X13" i="3"/>
  <c r="X14" i="3"/>
  <c r="X15" i="3"/>
  <c r="X16" i="3"/>
  <c r="X17" i="3"/>
  <c r="X18" i="3"/>
  <c r="X19" i="3"/>
  <c r="X20" i="3"/>
  <c r="X21" i="3"/>
  <c r="X22" i="3"/>
  <c r="X23" i="3"/>
  <c r="X24" i="3"/>
  <c r="X25" i="3"/>
  <c r="X26" i="3"/>
  <c r="X27" i="3"/>
  <c r="X28" i="3"/>
  <c r="X29" i="3"/>
  <c r="X30" i="3"/>
  <c r="X31" i="3"/>
  <c r="X32" i="3"/>
  <c r="X33" i="3"/>
  <c r="X34" i="3"/>
  <c r="X35" i="3"/>
  <c r="X36" i="3"/>
  <c r="X37" i="3"/>
  <c r="X38" i="3"/>
  <c r="X5" i="3"/>
  <c r="Z6" i="3"/>
  <c r="Z8" i="3"/>
  <c r="Z10" i="3"/>
  <c r="Z12" i="3"/>
  <c r="Z14" i="3"/>
  <c r="Z16" i="3"/>
  <c r="Z18" i="3"/>
  <c r="Z20" i="3"/>
  <c r="Z22" i="3"/>
  <c r="Z24" i="3"/>
  <c r="Z26" i="3"/>
  <c r="Z28" i="3"/>
  <c r="Z30" i="3"/>
  <c r="Z32" i="3"/>
  <c r="Z34" i="3"/>
  <c r="Z36" i="3"/>
  <c r="Z38" i="3"/>
  <c r="W6" i="3"/>
  <c r="W7" i="3"/>
  <c r="W8" i="3"/>
  <c r="W9" i="3"/>
  <c r="W10" i="3"/>
  <c r="W11" i="3"/>
  <c r="W12" i="3"/>
  <c r="W13" i="3"/>
  <c r="W14" i="3"/>
  <c r="W15" i="3"/>
  <c r="W16" i="3"/>
  <c r="W17" i="3"/>
  <c r="W18" i="3"/>
  <c r="W19" i="3"/>
  <c r="W20" i="3"/>
  <c r="W21" i="3"/>
  <c r="W22" i="3"/>
  <c r="W23" i="3"/>
  <c r="W24" i="3"/>
  <c r="W25" i="3"/>
  <c r="W26" i="3"/>
  <c r="W27" i="3"/>
  <c r="W28" i="3"/>
  <c r="W29" i="3"/>
  <c r="W30" i="3"/>
  <c r="W31" i="3"/>
  <c r="W32" i="3"/>
  <c r="W33" i="3"/>
  <c r="W34" i="3"/>
  <c r="W35" i="3"/>
  <c r="W36" i="3"/>
  <c r="W37" i="3"/>
  <c r="W38" i="3"/>
  <c r="W5" i="3"/>
  <c r="H58" i="6"/>
  <c r="H57" i="6"/>
  <c r="H56" i="6"/>
  <c r="H54" i="6"/>
  <c r="H51" i="6"/>
  <c r="H50" i="6"/>
  <c r="H48" i="6"/>
  <c r="H47" i="6"/>
  <c r="H44" i="6"/>
  <c r="H41" i="6"/>
  <c r="H38" i="6"/>
  <c r="H37" i="6"/>
  <c r="H34" i="6"/>
  <c r="H31" i="6"/>
  <c r="H28" i="6"/>
  <c r="H25" i="6"/>
  <c r="H23" i="6"/>
  <c r="H20" i="6"/>
  <c r="H18" i="6"/>
  <c r="H14" i="6"/>
  <c r="H11" i="6"/>
  <c r="H8" i="6"/>
  <c r="H5" i="6"/>
  <c r="H2" i="6"/>
  <c r="AB58" i="6"/>
  <c r="F58" i="6"/>
  <c r="S57" i="6"/>
  <c r="F57" i="6"/>
  <c r="S56" i="6"/>
  <c r="AB56" i="6"/>
  <c r="F56" i="6"/>
  <c r="F55" i="6"/>
  <c r="S54" i="6"/>
  <c r="AB54" i="6"/>
  <c r="F54" i="6"/>
  <c r="F53" i="6"/>
  <c r="AB52" i="6"/>
  <c r="F52" i="6"/>
  <c r="S51" i="6"/>
  <c r="F51" i="6"/>
  <c r="S50" i="6"/>
  <c r="AB50" i="6"/>
  <c r="F50" i="6"/>
  <c r="F49" i="6"/>
  <c r="AB48" i="6"/>
  <c r="F48" i="6"/>
  <c r="AA47" i="6"/>
  <c r="AB47" i="6"/>
  <c r="F47" i="6"/>
  <c r="AA46" i="6"/>
  <c r="F46" i="6"/>
  <c r="AA45" i="6"/>
  <c r="F45" i="6"/>
  <c r="AA44" i="6"/>
  <c r="S44" i="6"/>
  <c r="Q44" i="6"/>
  <c r="R44" i="6" s="1"/>
  <c r="F44" i="6"/>
  <c r="AA43" i="6"/>
  <c r="F43" i="6"/>
  <c r="AA42" i="6"/>
  <c r="F42" i="6"/>
  <c r="AA41" i="6"/>
  <c r="S41" i="6"/>
  <c r="Q41" i="6"/>
  <c r="R41" i="6" s="1"/>
  <c r="F41" i="6"/>
  <c r="AA40" i="6"/>
  <c r="F40" i="6"/>
  <c r="AA39" i="6"/>
  <c r="F39" i="6"/>
  <c r="AA38" i="6"/>
  <c r="F38" i="6"/>
  <c r="AA37" i="6"/>
  <c r="X37" i="6"/>
  <c r="Y37" i="6" s="1"/>
  <c r="AB37" i="6"/>
  <c r="F37" i="6"/>
  <c r="AA36" i="6"/>
  <c r="X36" i="6"/>
  <c r="Y36" i="6" s="1"/>
  <c r="F36" i="6"/>
  <c r="AA35" i="6"/>
  <c r="X35" i="6"/>
  <c r="Y35" i="6" s="1"/>
  <c r="F35" i="6"/>
  <c r="AA34" i="6"/>
  <c r="X34" i="6"/>
  <c r="Y34" i="6" s="1"/>
  <c r="S34" i="6"/>
  <c r="Q34" i="6"/>
  <c r="R34" i="6" s="1"/>
  <c r="F34" i="6"/>
  <c r="AA33" i="6"/>
  <c r="X33" i="6"/>
  <c r="Y33" i="6" s="1"/>
  <c r="F33" i="6"/>
  <c r="AA32" i="6"/>
  <c r="X32" i="6"/>
  <c r="Y32" i="6" s="1"/>
  <c r="F32" i="6"/>
  <c r="AA31" i="6"/>
  <c r="X31" i="6"/>
  <c r="Y31" i="6" s="1"/>
  <c r="S31" i="6"/>
  <c r="Q31" i="6"/>
  <c r="R31" i="6" s="1"/>
  <c r="F31" i="6"/>
  <c r="AA30" i="6"/>
  <c r="X30" i="6"/>
  <c r="Y30" i="6" s="1"/>
  <c r="F30" i="6"/>
  <c r="AA29" i="6"/>
  <c r="X29" i="6"/>
  <c r="Y29" i="6" s="1"/>
  <c r="F29" i="6"/>
  <c r="AA28" i="6"/>
  <c r="Y28" i="6"/>
  <c r="X28" i="6"/>
  <c r="S28" i="6"/>
  <c r="Q28" i="6"/>
  <c r="R28" i="6" s="1"/>
  <c r="F28" i="6"/>
  <c r="AA27" i="6"/>
  <c r="X27" i="6"/>
  <c r="Y27" i="6" s="1"/>
  <c r="F27" i="6"/>
  <c r="AA26" i="6"/>
  <c r="X26" i="6"/>
  <c r="Y26" i="6" s="1"/>
  <c r="F26" i="6"/>
  <c r="AA25" i="6"/>
  <c r="X25" i="6"/>
  <c r="Y25" i="6" s="1"/>
  <c r="AB25" i="6"/>
  <c r="F25" i="6"/>
  <c r="AA24" i="6"/>
  <c r="X24" i="6"/>
  <c r="Y24" i="6" s="1"/>
  <c r="AB24" i="6"/>
  <c r="F24" i="6"/>
  <c r="AA23" i="6"/>
  <c r="X23" i="6"/>
  <c r="Y23" i="6" s="1"/>
  <c r="S23" i="6"/>
  <c r="Q23" i="6"/>
  <c r="R23" i="6" s="1"/>
  <c r="F23" i="6"/>
  <c r="AA22" i="6"/>
  <c r="Y22" i="6"/>
  <c r="X22" i="6"/>
  <c r="F22" i="6"/>
  <c r="AA21" i="6"/>
  <c r="Y21" i="6"/>
  <c r="X21" i="6"/>
  <c r="F21" i="6"/>
  <c r="AA20" i="6"/>
  <c r="X20" i="6"/>
  <c r="Y20" i="6" s="1"/>
  <c r="S20" i="6"/>
  <c r="Q20" i="6"/>
  <c r="R20" i="6" s="1"/>
  <c r="F20" i="6"/>
  <c r="AA19" i="6"/>
  <c r="Y19" i="6"/>
  <c r="X19" i="6"/>
  <c r="F19" i="6"/>
  <c r="AA18" i="6"/>
  <c r="X18" i="6"/>
  <c r="Y18" i="6" s="1"/>
  <c r="S18" i="6"/>
  <c r="Q18" i="6"/>
  <c r="R18" i="6" s="1"/>
  <c r="F18" i="6"/>
  <c r="AA17" i="6"/>
  <c r="Y17" i="6"/>
  <c r="X17" i="6"/>
  <c r="F17" i="6"/>
  <c r="AA16" i="6"/>
  <c r="Y16" i="6"/>
  <c r="X16" i="6"/>
  <c r="AB16" i="6"/>
  <c r="F16" i="6"/>
  <c r="AA15" i="6"/>
  <c r="X15" i="6"/>
  <c r="Y15" i="6" s="1"/>
  <c r="AB15" i="6"/>
  <c r="F15" i="6"/>
  <c r="AA14" i="6"/>
  <c r="X14" i="6"/>
  <c r="Y14" i="6" s="1"/>
  <c r="S14" i="6"/>
  <c r="Q14" i="6"/>
  <c r="R14" i="6" s="1"/>
  <c r="F14" i="6"/>
  <c r="AA13" i="6"/>
  <c r="X13" i="6"/>
  <c r="Y13" i="6" s="1"/>
  <c r="F13" i="6"/>
  <c r="AA12" i="6"/>
  <c r="X12" i="6"/>
  <c r="Y12" i="6" s="1"/>
  <c r="F12" i="6"/>
  <c r="AA11" i="6"/>
  <c r="X11" i="6"/>
  <c r="Y11" i="6" s="1"/>
  <c r="S11" i="6"/>
  <c r="Q11" i="6"/>
  <c r="R11" i="6" s="1"/>
  <c r="F11" i="6"/>
  <c r="AA10" i="6"/>
  <c r="X10" i="6"/>
  <c r="Y10" i="6" s="1"/>
  <c r="F10" i="6"/>
  <c r="AA9" i="6"/>
  <c r="X9" i="6"/>
  <c r="Y9" i="6" s="1"/>
  <c r="F9" i="6"/>
  <c r="AA8" i="6"/>
  <c r="X8" i="6"/>
  <c r="Y8" i="6" s="1"/>
  <c r="S8" i="6"/>
  <c r="Q8" i="6"/>
  <c r="R8" i="6" s="1"/>
  <c r="F8" i="6"/>
  <c r="AA7" i="6"/>
  <c r="Y7" i="6"/>
  <c r="X7" i="6"/>
  <c r="F7" i="6"/>
  <c r="AA6" i="6"/>
  <c r="Y6" i="6"/>
  <c r="X6" i="6"/>
  <c r="F6" i="6"/>
  <c r="AA5" i="6"/>
  <c r="X5" i="6"/>
  <c r="Y5" i="6" s="1"/>
  <c r="S5" i="6"/>
  <c r="Q5" i="6"/>
  <c r="R5" i="6" s="1"/>
  <c r="F5" i="6"/>
  <c r="G11" i="6" s="1"/>
  <c r="AA4" i="6"/>
  <c r="X4" i="6"/>
  <c r="Y4" i="6" s="1"/>
  <c r="F4" i="6"/>
  <c r="AA3" i="6"/>
  <c r="X3" i="6"/>
  <c r="Y3" i="6" s="1"/>
  <c r="F3" i="6"/>
  <c r="AA2" i="6"/>
  <c r="Y2" i="6"/>
  <c r="X2" i="6"/>
  <c r="F2" i="6"/>
  <c r="Z5" i="3" l="1"/>
  <c r="Z40" i="3" s="1"/>
  <c r="N47" i="6"/>
  <c r="O47" i="6" s="1"/>
  <c r="P47" i="6" s="1"/>
  <c r="N41" i="6"/>
  <c r="O41" i="6" s="1"/>
  <c r="P41" i="6" s="1"/>
  <c r="N56" i="6"/>
  <c r="O56" i="6" s="1"/>
  <c r="T56" i="6" s="1"/>
  <c r="AB6" i="6"/>
  <c r="AB8" i="6"/>
  <c r="AB10" i="6"/>
  <c r="AB12" i="6"/>
  <c r="N8" i="6"/>
  <c r="O8" i="6" s="1"/>
  <c r="T8" i="6" s="1"/>
  <c r="N14" i="6"/>
  <c r="O14" i="6" s="1"/>
  <c r="T14" i="6" s="1"/>
  <c r="N44" i="6"/>
  <c r="O44" i="6" s="1"/>
  <c r="P44" i="6" s="1"/>
  <c r="AB33" i="6"/>
  <c r="AB35" i="6"/>
  <c r="N18" i="6"/>
  <c r="O18" i="6" s="1"/>
  <c r="P18" i="6" s="1"/>
  <c r="N20" i="6"/>
  <c r="O20" i="6" s="1"/>
  <c r="P20" i="6" s="1"/>
  <c r="N23" i="6"/>
  <c r="O23" i="6" s="1"/>
  <c r="T23" i="6" s="1"/>
  <c r="N28" i="6"/>
  <c r="O28" i="6" s="1"/>
  <c r="P28" i="6" s="1"/>
  <c r="N31" i="6"/>
  <c r="O31" i="6" s="1"/>
  <c r="P31" i="6" s="1"/>
  <c r="AB32" i="6"/>
  <c r="N34" i="6"/>
  <c r="O34" i="6" s="1"/>
  <c r="T34" i="6" s="1"/>
  <c r="AB34" i="6"/>
  <c r="N37" i="6"/>
  <c r="O37" i="6" s="1"/>
  <c r="T37" i="6" s="1"/>
  <c r="AB39" i="6"/>
  <c r="AB40" i="6"/>
  <c r="AB41" i="6"/>
  <c r="AB42" i="6"/>
  <c r="AB43" i="6"/>
  <c r="AB44" i="6"/>
  <c r="AB45" i="6"/>
  <c r="AB46" i="6"/>
  <c r="N50" i="6"/>
  <c r="O50" i="6" s="1"/>
  <c r="T50" i="6" s="1"/>
  <c r="N54" i="6"/>
  <c r="O54" i="6" s="1"/>
  <c r="T54" i="6" s="1"/>
  <c r="AB3" i="6"/>
  <c r="N5" i="6"/>
  <c r="O5" i="6" s="1"/>
  <c r="T5" i="6" s="1"/>
  <c r="AB5" i="6"/>
  <c r="AB7" i="6"/>
  <c r="AB9" i="6"/>
  <c r="N11" i="6"/>
  <c r="O11" i="6" s="1"/>
  <c r="T11" i="6" s="1"/>
  <c r="AB11" i="6"/>
  <c r="AB13" i="6"/>
  <c r="AB14" i="6"/>
  <c r="AB17" i="6"/>
  <c r="AB18" i="6"/>
  <c r="AB19" i="6"/>
  <c r="AB20" i="6"/>
  <c r="AB21" i="6"/>
  <c r="AB22" i="6"/>
  <c r="AB23" i="6"/>
  <c r="AB26" i="6"/>
  <c r="AB27" i="6"/>
  <c r="AB28" i="6"/>
  <c r="AB29" i="6"/>
  <c r="AB30" i="6"/>
  <c r="AB31" i="6"/>
  <c r="AB36" i="6"/>
  <c r="P37" i="6"/>
  <c r="Q2" i="6"/>
  <c r="R2" i="6" s="1"/>
  <c r="G6" i="6"/>
  <c r="G7" i="6"/>
  <c r="G8" i="6"/>
  <c r="N2" i="6"/>
  <c r="O2" i="6" s="1"/>
  <c r="T2" i="6" s="1"/>
  <c r="P14" i="6"/>
  <c r="AB4" i="6"/>
  <c r="G56" i="6"/>
  <c r="G54" i="6"/>
  <c r="G52" i="6"/>
  <c r="G50" i="6"/>
  <c r="G47" i="6"/>
  <c r="G46" i="6"/>
  <c r="G45" i="6"/>
  <c r="G44" i="6"/>
  <c r="G43" i="6"/>
  <c r="G42" i="6"/>
  <c r="G41" i="6"/>
  <c r="G40" i="6"/>
  <c r="G39" i="6"/>
  <c r="G37" i="6"/>
  <c r="G36" i="6"/>
  <c r="G35" i="6"/>
  <c r="G34" i="6"/>
  <c r="G33" i="6"/>
  <c r="G32" i="6"/>
  <c r="G31" i="6"/>
  <c r="G30" i="6"/>
  <c r="G29" i="6"/>
  <c r="G28" i="6"/>
  <c r="G27" i="6"/>
  <c r="G26" i="6"/>
  <c r="G24" i="6"/>
  <c r="G23" i="6"/>
  <c r="G22" i="6"/>
  <c r="G21" i="6"/>
  <c r="G20" i="6"/>
  <c r="G19" i="6"/>
  <c r="G18" i="6"/>
  <c r="G17" i="6"/>
  <c r="G15" i="6"/>
  <c r="G14" i="6"/>
  <c r="G9" i="6"/>
  <c r="G10" i="6"/>
  <c r="G12" i="6"/>
  <c r="G13" i="6"/>
  <c r="G16" i="6"/>
  <c r="G25" i="6"/>
  <c r="N25" i="6"/>
  <c r="O25" i="6" s="1"/>
  <c r="T25" i="6" s="1"/>
  <c r="G38" i="6"/>
  <c r="P50" i="6"/>
  <c r="G51" i="6"/>
  <c r="G55" i="6"/>
  <c r="Q25" i="6"/>
  <c r="R25" i="6" s="1"/>
  <c r="T41" i="6"/>
  <c r="T47" i="6"/>
  <c r="G48" i="6"/>
  <c r="G49" i="6"/>
  <c r="G53" i="6"/>
  <c r="P56" i="6"/>
  <c r="G57" i="6"/>
  <c r="Q38" i="6"/>
  <c r="R38" i="6" s="1"/>
  <c r="AB38" i="6"/>
  <c r="Q48" i="6"/>
  <c r="R48" i="6" s="1"/>
  <c r="AB49" i="6"/>
  <c r="Q51" i="6"/>
  <c r="R51" i="6" s="1"/>
  <c r="AB51" i="6"/>
  <c r="AB53" i="6"/>
  <c r="AB55" i="6"/>
  <c r="Q57" i="6"/>
  <c r="R57" i="6" s="1"/>
  <c r="AB57" i="6"/>
  <c r="Q58" i="6"/>
  <c r="R58" i="6" s="1"/>
  <c r="Q37" i="6"/>
  <c r="R37" i="6" s="1"/>
  <c r="N38" i="6"/>
  <c r="O38" i="6" s="1"/>
  <c r="T38" i="6" s="1"/>
  <c r="Q47" i="6"/>
  <c r="R47" i="6" s="1"/>
  <c r="N48" i="6"/>
  <c r="O48" i="6" s="1"/>
  <c r="T48" i="6" s="1"/>
  <c r="Q50" i="6"/>
  <c r="R50" i="6" s="1"/>
  <c r="N51" i="6"/>
  <c r="O51" i="6" s="1"/>
  <c r="T51" i="6" s="1"/>
  <c r="Q54" i="6"/>
  <c r="R54" i="6" s="1"/>
  <c r="Q56" i="6"/>
  <c r="R56" i="6" s="1"/>
  <c r="N57" i="6"/>
  <c r="O57" i="6" s="1"/>
  <c r="T57" i="6" s="1"/>
  <c r="N58" i="6"/>
  <c r="O58" i="6" s="1"/>
  <c r="T58" i="6" s="1"/>
  <c r="Z3" i="4"/>
  <c r="Z4" i="4"/>
  <c r="Z5" i="4"/>
  <c r="Z6" i="4"/>
  <c r="Z7" i="4"/>
  <c r="Z8" i="4"/>
  <c r="Z9" i="4"/>
  <c r="Z10" i="4"/>
  <c r="Z11" i="4"/>
  <c r="Z12" i="4"/>
  <c r="Z13" i="4"/>
  <c r="Z14" i="4"/>
  <c r="Z15" i="4"/>
  <c r="Z16" i="4"/>
  <c r="Z17" i="4"/>
  <c r="Z18" i="4"/>
  <c r="Z19" i="4"/>
  <c r="Z20" i="4"/>
  <c r="Z21" i="4"/>
  <c r="Z22" i="4"/>
  <c r="Z23" i="4"/>
  <c r="Z24" i="4"/>
  <c r="Z25" i="4"/>
  <c r="Z26" i="4"/>
  <c r="Z27" i="4"/>
  <c r="Z28" i="4"/>
  <c r="Z29" i="4"/>
  <c r="Z30" i="4"/>
  <c r="Z31" i="4"/>
  <c r="Z32" i="4"/>
  <c r="Z33" i="4"/>
  <c r="Z34" i="4"/>
  <c r="Z35" i="4"/>
  <c r="Z36" i="4"/>
  <c r="Z37" i="4"/>
  <c r="Z38" i="4"/>
  <c r="Z39" i="4"/>
  <c r="Z40" i="4"/>
  <c r="Z41" i="4"/>
  <c r="Z42" i="4"/>
  <c r="Z43" i="4"/>
  <c r="Z44" i="4"/>
  <c r="Z45" i="4"/>
  <c r="Z46" i="4"/>
  <c r="Z47" i="4"/>
  <c r="Z2" i="4"/>
  <c r="G33" i="5"/>
  <c r="H33" i="5"/>
  <c r="G31" i="5"/>
  <c r="H32" i="5"/>
  <c r="F32" i="5"/>
  <c r="F29" i="5"/>
  <c r="F30" i="5"/>
  <c r="H30" i="5" s="1"/>
  <c r="F28" i="5"/>
  <c r="C29" i="5"/>
  <c r="H28" i="5"/>
  <c r="E28" i="5"/>
  <c r="T28" i="6" l="1"/>
  <c r="P23" i="6"/>
  <c r="T18" i="6"/>
  <c r="P11" i="6"/>
  <c r="T44" i="6"/>
  <c r="P54" i="6"/>
  <c r="T31" i="6"/>
  <c r="P8" i="6"/>
  <c r="P34" i="6"/>
  <c r="P5" i="6"/>
  <c r="T20" i="6"/>
  <c r="P48" i="6"/>
  <c r="P51" i="6"/>
  <c r="P57" i="6"/>
  <c r="P58" i="6"/>
  <c r="P38" i="6"/>
  <c r="P25" i="6"/>
  <c r="P2" i="6"/>
  <c r="BM13" i="2"/>
  <c r="BM14" i="2"/>
  <c r="BM15" i="2"/>
  <c r="BM16" i="2"/>
  <c r="BM17" i="2"/>
  <c r="BM18" i="2"/>
  <c r="BM19" i="2"/>
  <c r="BM20" i="2"/>
  <c r="BM21" i="2"/>
  <c r="BM22" i="2"/>
  <c r="BM23" i="2"/>
  <c r="BM24" i="2"/>
  <c r="BM25" i="2"/>
  <c r="BM26" i="2"/>
  <c r="BM27" i="2"/>
  <c r="BM29" i="2"/>
  <c r="BM30" i="2"/>
  <c r="BM31" i="2"/>
  <c r="BM32" i="2"/>
  <c r="BM34" i="2"/>
  <c r="BM35" i="2"/>
  <c r="BM36" i="2"/>
  <c r="BM38" i="2"/>
  <c r="BM39" i="2"/>
  <c r="BM40" i="2"/>
  <c r="BM41" i="2"/>
  <c r="BM42" i="2"/>
  <c r="BM5" i="2"/>
  <c r="BM6" i="2"/>
  <c r="BM7" i="2"/>
  <c r="BM8" i="2"/>
  <c r="BM9" i="2"/>
  <c r="BM10" i="2"/>
  <c r="BM11" i="2"/>
  <c r="BM4" i="2"/>
  <c r="X16" i="4"/>
  <c r="X17" i="4"/>
  <c r="X19" i="4"/>
  <c r="X21" i="4"/>
  <c r="X22" i="4"/>
  <c r="X24" i="4"/>
  <c r="X26" i="4"/>
  <c r="X27" i="4"/>
  <c r="X28" i="4"/>
  <c r="X29" i="4"/>
  <c r="X30" i="4"/>
  <c r="X31" i="4"/>
  <c r="X32" i="4"/>
  <c r="X33" i="4"/>
  <c r="X35" i="4"/>
  <c r="X36" i="4"/>
  <c r="X2" i="4"/>
  <c r="W3" i="4"/>
  <c r="X3" i="4" s="1"/>
  <c r="W4" i="4"/>
  <c r="X4" i="4" s="1"/>
  <c r="W5" i="4"/>
  <c r="X5" i="4" s="1"/>
  <c r="W6" i="4"/>
  <c r="X6" i="4" s="1"/>
  <c r="W7" i="4"/>
  <c r="X7" i="4" s="1"/>
  <c r="W8" i="4"/>
  <c r="X8" i="4" s="1"/>
  <c r="W9" i="4"/>
  <c r="X9" i="4" s="1"/>
  <c r="W10" i="4"/>
  <c r="X10" i="4" s="1"/>
  <c r="W11" i="4"/>
  <c r="X11" i="4" s="1"/>
  <c r="W12" i="4"/>
  <c r="X12" i="4" s="1"/>
  <c r="W13" i="4"/>
  <c r="X13" i="4" s="1"/>
  <c r="W14" i="4"/>
  <c r="X14" i="4" s="1"/>
  <c r="W15" i="4"/>
  <c r="X15" i="4" s="1"/>
  <c r="W16" i="4"/>
  <c r="W17" i="4"/>
  <c r="W18" i="4"/>
  <c r="X18" i="4" s="1"/>
  <c r="W19" i="4"/>
  <c r="W20" i="4"/>
  <c r="X20" i="4" s="1"/>
  <c r="W21" i="4"/>
  <c r="W22" i="4"/>
  <c r="W23" i="4"/>
  <c r="X23" i="4" s="1"/>
  <c r="W24" i="4"/>
  <c r="W25" i="4"/>
  <c r="X25" i="4" s="1"/>
  <c r="W26" i="4"/>
  <c r="W27" i="4"/>
  <c r="W28" i="4"/>
  <c r="W29" i="4"/>
  <c r="W30" i="4"/>
  <c r="W31" i="4"/>
  <c r="W32" i="4"/>
  <c r="W33" i="4"/>
  <c r="W34" i="4"/>
  <c r="X34" i="4" s="1"/>
  <c r="W35" i="4"/>
  <c r="W36" i="4"/>
  <c r="W37" i="4"/>
  <c r="X37" i="4" s="1"/>
  <c r="W2" i="4"/>
  <c r="R50" i="4" l="1"/>
  <c r="R51" i="4"/>
  <c r="R52" i="4"/>
  <c r="R53" i="4"/>
  <c r="R54" i="4"/>
  <c r="R55" i="4"/>
  <c r="R56" i="4"/>
  <c r="R57" i="4"/>
  <c r="R49" i="4"/>
  <c r="R40" i="4"/>
  <c r="R41" i="4"/>
  <c r="R42" i="4"/>
  <c r="R43" i="4"/>
  <c r="R44" i="4"/>
  <c r="R45" i="4"/>
  <c r="R46" i="4"/>
  <c r="R39" i="4"/>
  <c r="R27" i="4"/>
  <c r="R28" i="4"/>
  <c r="R29" i="4"/>
  <c r="R30" i="4"/>
  <c r="R31" i="4"/>
  <c r="R32" i="4"/>
  <c r="R33" i="4"/>
  <c r="R34" i="4"/>
  <c r="R35" i="4"/>
  <c r="R36" i="4"/>
  <c r="R26" i="4"/>
  <c r="R18" i="4"/>
  <c r="R19" i="4"/>
  <c r="R20" i="4"/>
  <c r="R21" i="4"/>
  <c r="R22" i="4"/>
  <c r="R23" i="4"/>
  <c r="R17" i="4"/>
  <c r="R4" i="4"/>
  <c r="R5" i="4"/>
  <c r="R6" i="4"/>
  <c r="R7" i="4"/>
  <c r="R8" i="4"/>
  <c r="R9" i="4"/>
  <c r="R10" i="4"/>
  <c r="R11" i="4"/>
  <c r="R12" i="4"/>
  <c r="R13" i="4"/>
  <c r="R14" i="4"/>
  <c r="R3" i="4"/>
  <c r="I49" i="4"/>
  <c r="I50" i="4"/>
  <c r="I51" i="4"/>
  <c r="I52" i="4"/>
  <c r="I53" i="4"/>
  <c r="I54" i="4"/>
  <c r="I55" i="4"/>
  <c r="I56" i="4"/>
  <c r="I57" i="4"/>
  <c r="I58" i="4"/>
  <c r="I48" i="4"/>
  <c r="I39" i="4"/>
  <c r="I40" i="4"/>
  <c r="I41" i="4"/>
  <c r="I42" i="4"/>
  <c r="I43" i="4"/>
  <c r="I44" i="4"/>
  <c r="I45" i="4"/>
  <c r="I46" i="4"/>
  <c r="I47" i="4"/>
  <c r="I38" i="4"/>
  <c r="I26" i="4"/>
  <c r="I27" i="4"/>
  <c r="I28" i="4"/>
  <c r="I29" i="4"/>
  <c r="I30" i="4"/>
  <c r="I31" i="4"/>
  <c r="I32" i="4"/>
  <c r="I33" i="4"/>
  <c r="I34" i="4"/>
  <c r="I35" i="4"/>
  <c r="I36" i="4"/>
  <c r="I37" i="4"/>
  <c r="I25" i="4"/>
  <c r="I17" i="4"/>
  <c r="I18" i="4"/>
  <c r="I19" i="4"/>
  <c r="I20" i="4"/>
  <c r="I21" i="4"/>
  <c r="I22" i="4"/>
  <c r="I23" i="4"/>
  <c r="I24" i="4"/>
  <c r="I16" i="4"/>
  <c r="I3" i="4"/>
  <c r="I4" i="4"/>
  <c r="I5" i="4"/>
  <c r="I6" i="4"/>
  <c r="I7" i="4"/>
  <c r="I8" i="4"/>
  <c r="I9" i="4"/>
  <c r="I10" i="4"/>
  <c r="I11" i="4"/>
  <c r="I12" i="4"/>
  <c r="I13" i="4"/>
  <c r="I14" i="4"/>
  <c r="I15" i="4"/>
  <c r="I2" i="4"/>
  <c r="BW33" i="2"/>
  <c r="B5" i="2"/>
  <c r="B6" i="2"/>
  <c r="B7" i="2"/>
  <c r="B8" i="2"/>
  <c r="B9" i="2"/>
  <c r="B10" i="2"/>
  <c r="B11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9" i="2"/>
  <c r="B30" i="2"/>
  <c r="B31" i="2"/>
  <c r="B32" i="2"/>
  <c r="B34" i="2"/>
  <c r="B35" i="2"/>
  <c r="B36" i="2"/>
  <c r="B38" i="2"/>
  <c r="B39" i="2"/>
  <c r="B40" i="2"/>
  <c r="B41" i="2"/>
  <c r="B42" i="2"/>
  <c r="B4" i="2"/>
  <c r="A5" i="2"/>
  <c r="A6" i="2"/>
  <c r="A7" i="2"/>
  <c r="A8" i="2"/>
  <c r="A9" i="2"/>
  <c r="A10" i="2"/>
  <c r="A11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9" i="2"/>
  <c r="A30" i="2"/>
  <c r="A31" i="2"/>
  <c r="A32" i="2"/>
  <c r="A34" i="2"/>
  <c r="A35" i="2"/>
  <c r="A36" i="2"/>
  <c r="A38" i="2"/>
  <c r="A39" i="2"/>
  <c r="A40" i="2"/>
  <c r="A41" i="2"/>
  <c r="A42" i="2"/>
  <c r="C29" i="2"/>
  <c r="D29" i="2"/>
  <c r="E29" i="2"/>
  <c r="F29" i="2"/>
  <c r="G29" i="2"/>
  <c r="H29" i="2"/>
  <c r="I29" i="2"/>
  <c r="J29" i="2"/>
  <c r="K29" i="2"/>
  <c r="C30" i="2"/>
  <c r="D30" i="2"/>
  <c r="E30" i="2"/>
  <c r="F30" i="2"/>
  <c r="G30" i="2"/>
  <c r="H30" i="2"/>
  <c r="I30" i="2"/>
  <c r="J30" i="2"/>
  <c r="K30" i="2"/>
  <c r="C31" i="2"/>
  <c r="D31" i="2"/>
  <c r="E31" i="2"/>
  <c r="F31" i="2"/>
  <c r="G31" i="2"/>
  <c r="H31" i="2"/>
  <c r="I31" i="2"/>
  <c r="J31" i="2"/>
  <c r="K31" i="2"/>
  <c r="C32" i="2"/>
  <c r="D32" i="2"/>
  <c r="E32" i="2"/>
  <c r="F32" i="2"/>
  <c r="G32" i="2"/>
  <c r="H32" i="2"/>
  <c r="I32" i="2"/>
  <c r="J32" i="2"/>
  <c r="K32" i="2"/>
  <c r="C34" i="2"/>
  <c r="D34" i="2"/>
  <c r="E34" i="2"/>
  <c r="F34" i="2"/>
  <c r="G34" i="2"/>
  <c r="H34" i="2"/>
  <c r="I34" i="2"/>
  <c r="J34" i="2"/>
  <c r="K34" i="2"/>
  <c r="C35" i="2"/>
  <c r="D35" i="2"/>
  <c r="E35" i="2"/>
  <c r="F35" i="2"/>
  <c r="G35" i="2"/>
  <c r="H35" i="2"/>
  <c r="I35" i="2"/>
  <c r="J35" i="2"/>
  <c r="K35" i="2"/>
  <c r="C36" i="2"/>
  <c r="D36" i="2"/>
  <c r="E36" i="2"/>
  <c r="F36" i="2"/>
  <c r="G36" i="2"/>
  <c r="H36" i="2"/>
  <c r="I36" i="2"/>
  <c r="J36" i="2"/>
  <c r="K36" i="2"/>
  <c r="C38" i="2"/>
  <c r="D38" i="2"/>
  <c r="E38" i="2"/>
  <c r="F38" i="2"/>
  <c r="G38" i="2"/>
  <c r="H38" i="2"/>
  <c r="I38" i="2"/>
  <c r="J38" i="2"/>
  <c r="K38" i="2"/>
  <c r="C39" i="2"/>
  <c r="D39" i="2"/>
  <c r="E39" i="2"/>
  <c r="F39" i="2"/>
  <c r="G39" i="2"/>
  <c r="H39" i="2"/>
  <c r="I39" i="2"/>
  <c r="J39" i="2"/>
  <c r="K39" i="2"/>
  <c r="C40" i="2"/>
  <c r="D40" i="2"/>
  <c r="E40" i="2"/>
  <c r="F40" i="2"/>
  <c r="G40" i="2"/>
  <c r="H40" i="2"/>
  <c r="I40" i="2"/>
  <c r="J40" i="2"/>
  <c r="K40" i="2"/>
  <c r="C41" i="2"/>
  <c r="D41" i="2"/>
  <c r="E41" i="2"/>
  <c r="F41" i="2"/>
  <c r="G41" i="2"/>
  <c r="H41" i="2"/>
  <c r="I41" i="2"/>
  <c r="J41" i="2"/>
  <c r="K41" i="2"/>
  <c r="C42" i="2"/>
  <c r="D42" i="2"/>
  <c r="E42" i="2"/>
  <c r="F42" i="2"/>
  <c r="G42" i="2"/>
  <c r="H42" i="2"/>
  <c r="I42" i="2"/>
  <c r="J42" i="2"/>
  <c r="K42" i="2"/>
  <c r="C5" i="2"/>
  <c r="D5" i="2"/>
  <c r="E5" i="2"/>
  <c r="F5" i="2"/>
  <c r="G5" i="2"/>
  <c r="H5" i="2"/>
  <c r="I5" i="2"/>
  <c r="J5" i="2"/>
  <c r="K5" i="2"/>
  <c r="C6" i="2"/>
  <c r="D6" i="2"/>
  <c r="E6" i="2"/>
  <c r="F6" i="2"/>
  <c r="G6" i="2"/>
  <c r="H6" i="2"/>
  <c r="I6" i="2"/>
  <c r="J6" i="2"/>
  <c r="K6" i="2"/>
  <c r="C7" i="2"/>
  <c r="D7" i="2"/>
  <c r="E7" i="2"/>
  <c r="F7" i="2"/>
  <c r="G7" i="2"/>
  <c r="H7" i="2"/>
  <c r="I7" i="2"/>
  <c r="J7" i="2"/>
  <c r="K7" i="2"/>
  <c r="C8" i="2"/>
  <c r="D8" i="2"/>
  <c r="E8" i="2"/>
  <c r="F8" i="2"/>
  <c r="G8" i="2"/>
  <c r="H8" i="2"/>
  <c r="I8" i="2"/>
  <c r="J8" i="2"/>
  <c r="K8" i="2"/>
  <c r="C9" i="2"/>
  <c r="D9" i="2"/>
  <c r="E9" i="2"/>
  <c r="F9" i="2"/>
  <c r="G9" i="2"/>
  <c r="H9" i="2"/>
  <c r="I9" i="2"/>
  <c r="J9" i="2"/>
  <c r="K9" i="2"/>
  <c r="C10" i="2"/>
  <c r="D10" i="2"/>
  <c r="E10" i="2"/>
  <c r="F10" i="2"/>
  <c r="G10" i="2"/>
  <c r="H10" i="2"/>
  <c r="I10" i="2"/>
  <c r="J10" i="2"/>
  <c r="K10" i="2"/>
  <c r="C11" i="2"/>
  <c r="D11" i="2"/>
  <c r="E11" i="2"/>
  <c r="F11" i="2"/>
  <c r="G11" i="2"/>
  <c r="H11" i="2"/>
  <c r="I11" i="2"/>
  <c r="J11" i="2"/>
  <c r="K11" i="2"/>
  <c r="C13" i="2"/>
  <c r="D13" i="2"/>
  <c r="E13" i="2"/>
  <c r="F13" i="2"/>
  <c r="G13" i="2"/>
  <c r="H13" i="2"/>
  <c r="I13" i="2"/>
  <c r="J13" i="2"/>
  <c r="K13" i="2"/>
  <c r="C14" i="2"/>
  <c r="D14" i="2"/>
  <c r="E14" i="2"/>
  <c r="F14" i="2"/>
  <c r="G14" i="2"/>
  <c r="H14" i="2"/>
  <c r="I14" i="2"/>
  <c r="J14" i="2"/>
  <c r="K14" i="2"/>
  <c r="C15" i="2"/>
  <c r="D15" i="2"/>
  <c r="E15" i="2"/>
  <c r="F15" i="2"/>
  <c r="G15" i="2"/>
  <c r="H15" i="2"/>
  <c r="I15" i="2"/>
  <c r="J15" i="2"/>
  <c r="K15" i="2"/>
  <c r="C16" i="2"/>
  <c r="D16" i="2"/>
  <c r="E16" i="2"/>
  <c r="F16" i="2"/>
  <c r="G16" i="2"/>
  <c r="H16" i="2"/>
  <c r="I16" i="2"/>
  <c r="J16" i="2"/>
  <c r="K16" i="2"/>
  <c r="C17" i="2"/>
  <c r="D17" i="2"/>
  <c r="E17" i="2"/>
  <c r="F17" i="2"/>
  <c r="G17" i="2"/>
  <c r="H17" i="2"/>
  <c r="I17" i="2"/>
  <c r="J17" i="2"/>
  <c r="K17" i="2"/>
  <c r="C18" i="2"/>
  <c r="D18" i="2"/>
  <c r="E18" i="2"/>
  <c r="F18" i="2"/>
  <c r="G18" i="2"/>
  <c r="H18" i="2"/>
  <c r="I18" i="2"/>
  <c r="J18" i="2"/>
  <c r="K18" i="2"/>
  <c r="C19" i="2"/>
  <c r="D19" i="2"/>
  <c r="E19" i="2"/>
  <c r="F19" i="2"/>
  <c r="G19" i="2"/>
  <c r="H19" i="2"/>
  <c r="I19" i="2"/>
  <c r="J19" i="2"/>
  <c r="K19" i="2"/>
  <c r="C20" i="2"/>
  <c r="D20" i="2"/>
  <c r="E20" i="2"/>
  <c r="F20" i="2"/>
  <c r="G20" i="2"/>
  <c r="H20" i="2"/>
  <c r="I20" i="2"/>
  <c r="J20" i="2"/>
  <c r="K20" i="2"/>
  <c r="C21" i="2"/>
  <c r="D21" i="2"/>
  <c r="E21" i="2"/>
  <c r="F21" i="2"/>
  <c r="G21" i="2"/>
  <c r="H21" i="2"/>
  <c r="I21" i="2"/>
  <c r="J21" i="2"/>
  <c r="K21" i="2"/>
  <c r="C22" i="2"/>
  <c r="D22" i="2"/>
  <c r="E22" i="2"/>
  <c r="F22" i="2"/>
  <c r="G22" i="2"/>
  <c r="H22" i="2"/>
  <c r="I22" i="2"/>
  <c r="J22" i="2"/>
  <c r="K22" i="2"/>
  <c r="C23" i="2"/>
  <c r="D23" i="2"/>
  <c r="E23" i="2"/>
  <c r="F23" i="2"/>
  <c r="G23" i="2"/>
  <c r="H23" i="2"/>
  <c r="I23" i="2"/>
  <c r="J23" i="2"/>
  <c r="K23" i="2"/>
  <c r="C24" i="2"/>
  <c r="D24" i="2"/>
  <c r="E24" i="2"/>
  <c r="F24" i="2"/>
  <c r="G24" i="2"/>
  <c r="H24" i="2"/>
  <c r="I24" i="2"/>
  <c r="J24" i="2"/>
  <c r="K24" i="2"/>
  <c r="C25" i="2"/>
  <c r="D25" i="2"/>
  <c r="E25" i="2"/>
  <c r="F25" i="2"/>
  <c r="G25" i="2"/>
  <c r="H25" i="2"/>
  <c r="I25" i="2"/>
  <c r="J25" i="2"/>
  <c r="K25" i="2"/>
  <c r="C26" i="2"/>
  <c r="D26" i="2"/>
  <c r="E26" i="2"/>
  <c r="F26" i="2"/>
  <c r="G26" i="2"/>
  <c r="H26" i="2"/>
  <c r="I26" i="2"/>
  <c r="J26" i="2"/>
  <c r="K26" i="2"/>
  <c r="C27" i="2"/>
  <c r="D27" i="2"/>
  <c r="E27" i="2"/>
  <c r="F27" i="2"/>
  <c r="G27" i="2"/>
  <c r="H27" i="2"/>
  <c r="I27" i="2"/>
  <c r="J27" i="2"/>
  <c r="K27" i="2"/>
  <c r="K4" i="2"/>
  <c r="J4" i="2"/>
  <c r="I4" i="2"/>
  <c r="H4" i="2"/>
  <c r="G4" i="2"/>
  <c r="F4" i="2"/>
  <c r="E4" i="2"/>
  <c r="D4" i="2"/>
  <c r="C4" i="2"/>
  <c r="AS5" i="2"/>
  <c r="AT5" i="2"/>
  <c r="AU5" i="2"/>
  <c r="AZ5" i="2"/>
  <c r="BB5" i="2"/>
  <c r="BC5" i="2"/>
  <c r="BD5" i="2"/>
  <c r="BE5" i="2"/>
  <c r="BF5" i="2"/>
  <c r="AS6" i="2"/>
  <c r="AT6" i="2"/>
  <c r="AU6" i="2"/>
  <c r="AZ6" i="2"/>
  <c r="BB6" i="2"/>
  <c r="BC6" i="2"/>
  <c r="BD6" i="2"/>
  <c r="BE6" i="2"/>
  <c r="BF6" i="2"/>
  <c r="AS7" i="2"/>
  <c r="AT7" i="2"/>
  <c r="AU7" i="2"/>
  <c r="AZ7" i="2"/>
  <c r="BB7" i="2"/>
  <c r="BC7" i="2"/>
  <c r="BD7" i="2"/>
  <c r="BE7" i="2"/>
  <c r="BF7" i="2"/>
  <c r="AS8" i="2"/>
  <c r="AT8" i="2"/>
  <c r="AU8" i="2"/>
  <c r="AZ8" i="2"/>
  <c r="BB8" i="2"/>
  <c r="BC8" i="2"/>
  <c r="BD8" i="2"/>
  <c r="BE8" i="2"/>
  <c r="BF8" i="2"/>
  <c r="AS9" i="2"/>
  <c r="AT9" i="2"/>
  <c r="AU9" i="2"/>
  <c r="AZ9" i="2"/>
  <c r="BB9" i="2"/>
  <c r="BC9" i="2"/>
  <c r="BD9" i="2"/>
  <c r="BE9" i="2"/>
  <c r="BF9" i="2"/>
  <c r="AS10" i="2"/>
  <c r="AT10" i="2"/>
  <c r="AU10" i="2"/>
  <c r="AZ10" i="2"/>
  <c r="BB10" i="2"/>
  <c r="BC10" i="2"/>
  <c r="BD10" i="2"/>
  <c r="BE10" i="2"/>
  <c r="BF10" i="2"/>
  <c r="AS11" i="2"/>
  <c r="AT11" i="2"/>
  <c r="AU11" i="2"/>
  <c r="AZ11" i="2"/>
  <c r="BB11" i="2"/>
  <c r="BC11" i="2"/>
  <c r="BD11" i="2"/>
  <c r="BE11" i="2"/>
  <c r="BF11" i="2"/>
  <c r="AS13" i="2"/>
  <c r="AT13" i="2"/>
  <c r="AU13" i="2"/>
  <c r="AZ13" i="2"/>
  <c r="BB13" i="2"/>
  <c r="BC13" i="2"/>
  <c r="BD13" i="2"/>
  <c r="BE13" i="2"/>
  <c r="BF13" i="2"/>
  <c r="AS14" i="2"/>
  <c r="AT14" i="2"/>
  <c r="AU14" i="2"/>
  <c r="AZ14" i="2"/>
  <c r="BB14" i="2"/>
  <c r="BC14" i="2"/>
  <c r="BD14" i="2"/>
  <c r="BE14" i="2"/>
  <c r="BF14" i="2"/>
  <c r="AS15" i="2"/>
  <c r="AT15" i="2"/>
  <c r="AU15" i="2"/>
  <c r="AZ15" i="2"/>
  <c r="BB15" i="2"/>
  <c r="BC15" i="2"/>
  <c r="BD15" i="2"/>
  <c r="BE15" i="2"/>
  <c r="BF15" i="2"/>
  <c r="AS16" i="2"/>
  <c r="AT16" i="2"/>
  <c r="AU16" i="2"/>
  <c r="AZ16" i="2"/>
  <c r="BB16" i="2"/>
  <c r="BC16" i="2"/>
  <c r="BD16" i="2"/>
  <c r="BE16" i="2"/>
  <c r="BF16" i="2"/>
  <c r="AS17" i="2"/>
  <c r="AT17" i="2"/>
  <c r="AU17" i="2"/>
  <c r="AZ17" i="2"/>
  <c r="BB17" i="2"/>
  <c r="BC17" i="2"/>
  <c r="BD17" i="2"/>
  <c r="BE17" i="2"/>
  <c r="BF17" i="2"/>
  <c r="AS18" i="2"/>
  <c r="AT18" i="2"/>
  <c r="AU18" i="2"/>
  <c r="AZ18" i="2"/>
  <c r="BB18" i="2"/>
  <c r="BC18" i="2"/>
  <c r="BD18" i="2"/>
  <c r="BE18" i="2"/>
  <c r="BF18" i="2"/>
  <c r="AS19" i="2"/>
  <c r="AT19" i="2"/>
  <c r="AU19" i="2"/>
  <c r="AZ19" i="2"/>
  <c r="BB19" i="2"/>
  <c r="BC19" i="2"/>
  <c r="BD19" i="2"/>
  <c r="BE19" i="2"/>
  <c r="BF19" i="2"/>
  <c r="AS20" i="2"/>
  <c r="AT20" i="2"/>
  <c r="AU20" i="2"/>
  <c r="AZ20" i="2"/>
  <c r="BB20" i="2"/>
  <c r="BC20" i="2"/>
  <c r="BD20" i="2"/>
  <c r="BE20" i="2"/>
  <c r="BF20" i="2"/>
  <c r="AS21" i="2"/>
  <c r="AT21" i="2"/>
  <c r="AU21" i="2"/>
  <c r="AZ21" i="2"/>
  <c r="BB21" i="2"/>
  <c r="BC21" i="2"/>
  <c r="BD21" i="2"/>
  <c r="BE21" i="2"/>
  <c r="BF21" i="2"/>
  <c r="AS22" i="2"/>
  <c r="AT22" i="2"/>
  <c r="AU22" i="2"/>
  <c r="AZ22" i="2"/>
  <c r="BB22" i="2"/>
  <c r="BC22" i="2"/>
  <c r="BD22" i="2"/>
  <c r="BE22" i="2"/>
  <c r="BF22" i="2"/>
  <c r="AS23" i="2"/>
  <c r="AT23" i="2"/>
  <c r="AU23" i="2"/>
  <c r="AZ23" i="2"/>
  <c r="BB23" i="2"/>
  <c r="BC23" i="2"/>
  <c r="BD23" i="2"/>
  <c r="BE23" i="2"/>
  <c r="BF23" i="2"/>
  <c r="AS24" i="2"/>
  <c r="AT24" i="2"/>
  <c r="AU24" i="2"/>
  <c r="AZ24" i="2"/>
  <c r="BB24" i="2"/>
  <c r="BC24" i="2"/>
  <c r="BD24" i="2"/>
  <c r="BE24" i="2"/>
  <c r="BF24" i="2"/>
  <c r="AS25" i="2"/>
  <c r="AT25" i="2"/>
  <c r="AU25" i="2"/>
  <c r="AZ25" i="2"/>
  <c r="BB25" i="2"/>
  <c r="BC25" i="2"/>
  <c r="BD25" i="2"/>
  <c r="BE25" i="2"/>
  <c r="BF25" i="2"/>
  <c r="AS26" i="2"/>
  <c r="AT26" i="2"/>
  <c r="AU26" i="2"/>
  <c r="AZ26" i="2"/>
  <c r="BB26" i="2"/>
  <c r="BC26" i="2"/>
  <c r="BD26" i="2"/>
  <c r="BE26" i="2"/>
  <c r="BF26" i="2"/>
  <c r="AS27" i="2"/>
  <c r="AT27" i="2"/>
  <c r="AU27" i="2"/>
  <c r="AZ27" i="2"/>
  <c r="BB27" i="2"/>
  <c r="BC27" i="2"/>
  <c r="BD27" i="2"/>
  <c r="BE27" i="2"/>
  <c r="BF27" i="2"/>
  <c r="AS29" i="2"/>
  <c r="AT29" i="2"/>
  <c r="AU29" i="2"/>
  <c r="AZ29" i="2"/>
  <c r="BB29" i="2"/>
  <c r="BC29" i="2"/>
  <c r="BD29" i="2"/>
  <c r="BE29" i="2"/>
  <c r="BF29" i="2"/>
  <c r="AS30" i="2"/>
  <c r="AT30" i="2"/>
  <c r="AU30" i="2"/>
  <c r="AZ30" i="2"/>
  <c r="BB30" i="2"/>
  <c r="BC30" i="2"/>
  <c r="BD30" i="2"/>
  <c r="BE30" i="2"/>
  <c r="BF30" i="2"/>
  <c r="AS31" i="2"/>
  <c r="AT31" i="2"/>
  <c r="AU31" i="2"/>
  <c r="AZ31" i="2"/>
  <c r="BB31" i="2"/>
  <c r="BC31" i="2"/>
  <c r="BD31" i="2"/>
  <c r="BE31" i="2"/>
  <c r="BF31" i="2"/>
  <c r="AS32" i="2"/>
  <c r="AT32" i="2"/>
  <c r="AU32" i="2"/>
  <c r="AZ32" i="2"/>
  <c r="BB32" i="2"/>
  <c r="BC32" i="2"/>
  <c r="BD32" i="2"/>
  <c r="BE32" i="2"/>
  <c r="BF32" i="2"/>
  <c r="AS34" i="2"/>
  <c r="AT34" i="2"/>
  <c r="AU34" i="2"/>
  <c r="AZ34" i="2"/>
  <c r="BB34" i="2"/>
  <c r="BC34" i="2"/>
  <c r="BD34" i="2"/>
  <c r="BE34" i="2"/>
  <c r="BF34" i="2"/>
  <c r="AS35" i="2"/>
  <c r="AT35" i="2"/>
  <c r="AU35" i="2"/>
  <c r="AZ35" i="2"/>
  <c r="BB35" i="2"/>
  <c r="BC35" i="2"/>
  <c r="BD35" i="2"/>
  <c r="BE35" i="2"/>
  <c r="BF35" i="2"/>
  <c r="AS36" i="2"/>
  <c r="AT36" i="2"/>
  <c r="AU36" i="2"/>
  <c r="AZ36" i="2"/>
  <c r="BB36" i="2"/>
  <c r="BC36" i="2"/>
  <c r="BD36" i="2"/>
  <c r="BE36" i="2"/>
  <c r="BF36" i="2"/>
  <c r="AS38" i="2"/>
  <c r="AT38" i="2"/>
  <c r="AU38" i="2"/>
  <c r="AZ38" i="2"/>
  <c r="BB38" i="2"/>
  <c r="BC38" i="2"/>
  <c r="BD38" i="2"/>
  <c r="BE38" i="2"/>
  <c r="BF38" i="2"/>
  <c r="AS39" i="2"/>
  <c r="AT39" i="2"/>
  <c r="AU39" i="2"/>
  <c r="AZ39" i="2"/>
  <c r="BB39" i="2"/>
  <c r="BC39" i="2"/>
  <c r="BD39" i="2"/>
  <c r="BE39" i="2"/>
  <c r="BF39" i="2"/>
  <c r="AS40" i="2"/>
  <c r="AT40" i="2"/>
  <c r="AU40" i="2"/>
  <c r="AZ40" i="2"/>
  <c r="BB40" i="2"/>
  <c r="BC40" i="2"/>
  <c r="BD40" i="2"/>
  <c r="BE40" i="2"/>
  <c r="BF40" i="2"/>
  <c r="AS41" i="2"/>
  <c r="AT41" i="2"/>
  <c r="AU41" i="2"/>
  <c r="AZ41" i="2"/>
  <c r="BB41" i="2"/>
  <c r="BC41" i="2"/>
  <c r="BD41" i="2"/>
  <c r="BE41" i="2"/>
  <c r="BF41" i="2"/>
  <c r="AS42" i="2"/>
  <c r="AT42" i="2"/>
  <c r="AU42" i="2"/>
  <c r="AZ42" i="2"/>
  <c r="BB42" i="2"/>
  <c r="BC42" i="2"/>
  <c r="BD42" i="2"/>
  <c r="BE42" i="2"/>
  <c r="BF42" i="2"/>
  <c r="AZ4" i="2"/>
  <c r="AU4" i="2"/>
  <c r="BF4" i="2"/>
  <c r="BE4" i="2"/>
  <c r="BD4" i="2"/>
  <c r="BC4" i="2"/>
  <c r="BB4" i="2"/>
  <c r="AS4" i="2"/>
  <c r="AT4" i="2"/>
  <c r="A4" i="2"/>
  <c r="P2" i="4" l="1"/>
  <c r="Q2" i="4" s="1"/>
  <c r="AA2" i="4"/>
  <c r="P14" i="4"/>
  <c r="Q14" i="4" s="1"/>
  <c r="AA14" i="4"/>
  <c r="P12" i="4"/>
  <c r="Q12" i="4" s="1"/>
  <c r="AA12" i="4"/>
  <c r="P10" i="4"/>
  <c r="Q10" i="4" s="1"/>
  <c r="AA10" i="4"/>
  <c r="P8" i="4"/>
  <c r="Q8" i="4" s="1"/>
  <c r="AA8" i="4"/>
  <c r="P6" i="4"/>
  <c r="Q6" i="4" s="1"/>
  <c r="AA6" i="4"/>
  <c r="P4" i="4"/>
  <c r="Q4" i="4" s="1"/>
  <c r="AA4" i="4"/>
  <c r="P16" i="4"/>
  <c r="Q16" i="4" s="1"/>
  <c r="AA16" i="4"/>
  <c r="P23" i="4"/>
  <c r="Q23" i="4" s="1"/>
  <c r="AA23" i="4"/>
  <c r="P21" i="4"/>
  <c r="Q21" i="4" s="1"/>
  <c r="AA21" i="4"/>
  <c r="P19" i="4"/>
  <c r="Q19" i="4" s="1"/>
  <c r="AA19" i="4"/>
  <c r="P17" i="4"/>
  <c r="Q17" i="4" s="1"/>
  <c r="AA17" i="4"/>
  <c r="P37" i="4"/>
  <c r="Q37" i="4" s="1"/>
  <c r="AA37" i="4"/>
  <c r="P35" i="4"/>
  <c r="Q35" i="4" s="1"/>
  <c r="AA35" i="4"/>
  <c r="P33" i="4"/>
  <c r="Q33" i="4" s="1"/>
  <c r="AA33" i="4"/>
  <c r="P31" i="4"/>
  <c r="Q31" i="4" s="1"/>
  <c r="AA31" i="4"/>
  <c r="P29" i="4"/>
  <c r="Q29" i="4" s="1"/>
  <c r="AA29" i="4"/>
  <c r="P27" i="4"/>
  <c r="Q27" i="4" s="1"/>
  <c r="AA27" i="4"/>
  <c r="P38" i="4"/>
  <c r="Q38" i="4" s="1"/>
  <c r="AA38" i="4"/>
  <c r="P46" i="4"/>
  <c r="Q46" i="4" s="1"/>
  <c r="AA46" i="4"/>
  <c r="P44" i="4"/>
  <c r="Q44" i="4" s="1"/>
  <c r="AA44" i="4"/>
  <c r="P42" i="4"/>
  <c r="Q42" i="4" s="1"/>
  <c r="AA42" i="4"/>
  <c r="P40" i="4"/>
  <c r="Q40" i="4" s="1"/>
  <c r="AA40" i="4"/>
  <c r="P48" i="4"/>
  <c r="Q48" i="4" s="1"/>
  <c r="AA48" i="4"/>
  <c r="P57" i="4"/>
  <c r="Q57" i="4" s="1"/>
  <c r="AA57" i="4"/>
  <c r="P55" i="4"/>
  <c r="Q55" i="4" s="1"/>
  <c r="AA55" i="4"/>
  <c r="P53" i="4"/>
  <c r="Q53" i="4" s="1"/>
  <c r="AA53" i="4"/>
  <c r="P51" i="4"/>
  <c r="Q51" i="4" s="1"/>
  <c r="AA51" i="4"/>
  <c r="P49" i="4"/>
  <c r="Q49" i="4" s="1"/>
  <c r="AA49" i="4"/>
  <c r="P15" i="4"/>
  <c r="Q15" i="4" s="1"/>
  <c r="AA15" i="4"/>
  <c r="P13" i="4"/>
  <c r="Q13" i="4" s="1"/>
  <c r="AA13" i="4"/>
  <c r="P11" i="4"/>
  <c r="Q11" i="4" s="1"/>
  <c r="AA11" i="4"/>
  <c r="P9" i="4"/>
  <c r="Q9" i="4" s="1"/>
  <c r="AA9" i="4"/>
  <c r="P7" i="4"/>
  <c r="Q7" i="4" s="1"/>
  <c r="AA7" i="4"/>
  <c r="P5" i="4"/>
  <c r="Q5" i="4" s="1"/>
  <c r="AA5" i="4"/>
  <c r="P3" i="4"/>
  <c r="Q3" i="4" s="1"/>
  <c r="AA3" i="4"/>
  <c r="P24" i="4"/>
  <c r="Q24" i="4" s="1"/>
  <c r="AA24" i="4"/>
  <c r="P22" i="4"/>
  <c r="Q22" i="4" s="1"/>
  <c r="AA22" i="4"/>
  <c r="P20" i="4"/>
  <c r="Q20" i="4" s="1"/>
  <c r="AA20" i="4"/>
  <c r="P18" i="4"/>
  <c r="Q18" i="4" s="1"/>
  <c r="AA18" i="4"/>
  <c r="P25" i="4"/>
  <c r="Q25" i="4" s="1"/>
  <c r="AA25" i="4"/>
  <c r="P36" i="4"/>
  <c r="Q36" i="4" s="1"/>
  <c r="AA36" i="4"/>
  <c r="P34" i="4"/>
  <c r="Q34" i="4" s="1"/>
  <c r="AA34" i="4"/>
  <c r="P32" i="4"/>
  <c r="Q32" i="4" s="1"/>
  <c r="AA32" i="4"/>
  <c r="P30" i="4"/>
  <c r="Q30" i="4" s="1"/>
  <c r="AA30" i="4"/>
  <c r="P28" i="4"/>
  <c r="Q28" i="4" s="1"/>
  <c r="AA28" i="4"/>
  <c r="P26" i="4"/>
  <c r="Q26" i="4" s="1"/>
  <c r="AA26" i="4"/>
  <c r="P47" i="4"/>
  <c r="Q47" i="4" s="1"/>
  <c r="AA47" i="4"/>
  <c r="P45" i="4"/>
  <c r="Q45" i="4" s="1"/>
  <c r="AA45" i="4"/>
  <c r="P43" i="4"/>
  <c r="Q43" i="4" s="1"/>
  <c r="AA43" i="4"/>
  <c r="P41" i="4"/>
  <c r="Q41" i="4" s="1"/>
  <c r="AA41" i="4"/>
  <c r="P39" i="4"/>
  <c r="Q39" i="4" s="1"/>
  <c r="AA39" i="4"/>
  <c r="P58" i="4"/>
  <c r="Q58" i="4" s="1"/>
  <c r="AA58" i="4"/>
  <c r="P56" i="4"/>
  <c r="Q56" i="4" s="1"/>
  <c r="AA56" i="4"/>
  <c r="P54" i="4"/>
  <c r="Q54" i="4" s="1"/>
  <c r="AA54" i="4"/>
  <c r="P52" i="4"/>
  <c r="Q52" i="4" s="1"/>
  <c r="AA52" i="4"/>
  <c r="P50" i="4"/>
  <c r="Q50" i="4" s="1"/>
  <c r="AA50" i="4"/>
  <c r="M2" i="4"/>
  <c r="N2" i="4" s="1"/>
  <c r="M25" i="4"/>
  <c r="M16" i="4"/>
  <c r="R41" i="3"/>
  <c r="S41" i="3"/>
  <c r="T41" i="3"/>
  <c r="U41" i="3"/>
  <c r="Q41" i="3"/>
  <c r="R40" i="3"/>
  <c r="S40" i="3"/>
  <c r="T40" i="3"/>
  <c r="U40" i="3"/>
  <c r="Q40" i="3"/>
  <c r="E49" i="4" l="1"/>
  <c r="M49" i="4"/>
  <c r="N49" i="4" s="1"/>
  <c r="E50" i="4"/>
  <c r="M50" i="4"/>
  <c r="N50" i="4" s="1"/>
  <c r="E51" i="4"/>
  <c r="M51" i="4"/>
  <c r="N51" i="4" s="1"/>
  <c r="E52" i="4"/>
  <c r="M52" i="4"/>
  <c r="N52" i="4" s="1"/>
  <c r="E53" i="4"/>
  <c r="M53" i="4"/>
  <c r="N53" i="4" s="1"/>
  <c r="E54" i="4"/>
  <c r="M54" i="4"/>
  <c r="N54" i="4" s="1"/>
  <c r="E55" i="4"/>
  <c r="M55" i="4"/>
  <c r="N55" i="4" s="1"/>
  <c r="E56" i="4"/>
  <c r="M56" i="4"/>
  <c r="N56" i="4" s="1"/>
  <c r="E57" i="4"/>
  <c r="M57" i="4"/>
  <c r="N57" i="4" s="1"/>
  <c r="E58" i="4"/>
  <c r="M58" i="4"/>
  <c r="N58" i="4" s="1"/>
  <c r="M48" i="4"/>
  <c r="E48" i="4"/>
  <c r="E39" i="4"/>
  <c r="M39" i="4"/>
  <c r="E40" i="4"/>
  <c r="M40" i="4"/>
  <c r="E41" i="4"/>
  <c r="M41" i="4"/>
  <c r="E42" i="4"/>
  <c r="M42" i="4"/>
  <c r="E43" i="4"/>
  <c r="M43" i="4"/>
  <c r="N43" i="4" s="1"/>
  <c r="E44" i="4"/>
  <c r="M44" i="4"/>
  <c r="N44" i="4" s="1"/>
  <c r="E45" i="4"/>
  <c r="M45" i="4"/>
  <c r="N45" i="4" s="1"/>
  <c r="E46" i="4"/>
  <c r="M46" i="4"/>
  <c r="N46" i="4" s="1"/>
  <c r="E47" i="4"/>
  <c r="M47" i="4"/>
  <c r="N47" i="4" s="1"/>
  <c r="M38" i="4"/>
  <c r="E38" i="4"/>
  <c r="E26" i="4"/>
  <c r="M26" i="4"/>
  <c r="E27" i="4"/>
  <c r="M27" i="4"/>
  <c r="E28" i="4"/>
  <c r="M28" i="4"/>
  <c r="E29" i="4"/>
  <c r="M29" i="4"/>
  <c r="E30" i="4"/>
  <c r="M30" i="4"/>
  <c r="E31" i="4"/>
  <c r="M31" i="4"/>
  <c r="E32" i="4"/>
  <c r="M32" i="4"/>
  <c r="E33" i="4"/>
  <c r="M33" i="4"/>
  <c r="E34" i="4"/>
  <c r="M34" i="4"/>
  <c r="E35" i="4"/>
  <c r="M35" i="4"/>
  <c r="E36" i="4"/>
  <c r="M36" i="4"/>
  <c r="E37" i="4"/>
  <c r="M37" i="4"/>
  <c r="E25" i="4"/>
  <c r="E17" i="4"/>
  <c r="M17" i="4"/>
  <c r="E18" i="4"/>
  <c r="M18" i="4"/>
  <c r="E19" i="4"/>
  <c r="M19" i="4"/>
  <c r="E20" i="4"/>
  <c r="M20" i="4"/>
  <c r="E21" i="4"/>
  <c r="M21" i="4"/>
  <c r="E22" i="4"/>
  <c r="M22" i="4"/>
  <c r="E23" i="4"/>
  <c r="M23" i="4"/>
  <c r="E24" i="4"/>
  <c r="M24" i="4"/>
  <c r="E16" i="4"/>
  <c r="E15" i="4"/>
  <c r="M15" i="4"/>
  <c r="N15" i="4" s="1"/>
  <c r="E3" i="4"/>
  <c r="M3" i="4"/>
  <c r="N3" i="4" s="1"/>
  <c r="E4" i="4"/>
  <c r="M4" i="4"/>
  <c r="N4" i="4" s="1"/>
  <c r="E5" i="4"/>
  <c r="M5" i="4"/>
  <c r="N5" i="4" s="1"/>
  <c r="E6" i="4"/>
  <c r="M6" i="4"/>
  <c r="N6" i="4" s="1"/>
  <c r="E7" i="4"/>
  <c r="M7" i="4"/>
  <c r="N7" i="4" s="1"/>
  <c r="E8" i="4"/>
  <c r="M8" i="4"/>
  <c r="N8" i="4" s="1"/>
  <c r="E9" i="4"/>
  <c r="M9" i="4"/>
  <c r="N9" i="4" s="1"/>
  <c r="E10" i="4"/>
  <c r="M10" i="4"/>
  <c r="N10" i="4" s="1"/>
  <c r="E11" i="4"/>
  <c r="M11" i="4"/>
  <c r="N11" i="4" s="1"/>
  <c r="E12" i="4"/>
  <c r="M12" i="4"/>
  <c r="N12" i="4" s="1"/>
  <c r="E13" i="4"/>
  <c r="M13" i="4"/>
  <c r="N13" i="4" s="1"/>
  <c r="E14" i="4"/>
  <c r="M14" i="4"/>
  <c r="N14" i="4" s="1"/>
  <c r="E2" i="4"/>
  <c r="F20" i="4" l="1"/>
  <c r="S14" i="4"/>
  <c r="S13" i="4"/>
  <c r="S12" i="4"/>
  <c r="S11" i="4"/>
  <c r="S10" i="4"/>
  <c r="S9" i="4"/>
  <c r="S8" i="4"/>
  <c r="S7" i="4"/>
  <c r="S6" i="4"/>
  <c r="S5" i="4"/>
  <c r="S4" i="4"/>
  <c r="S3" i="4"/>
  <c r="N24" i="4"/>
  <c r="S24" i="4" s="1"/>
  <c r="N23" i="4"/>
  <c r="S23" i="4" s="1"/>
  <c r="N22" i="4"/>
  <c r="S22" i="4" s="1"/>
  <c r="N21" i="4"/>
  <c r="S21" i="4" s="1"/>
  <c r="N20" i="4"/>
  <c r="S20" i="4" s="1"/>
  <c r="N19" i="4"/>
  <c r="S19" i="4" s="1"/>
  <c r="N18" i="4"/>
  <c r="S18" i="4" s="1"/>
  <c r="N17" i="4"/>
  <c r="S17" i="4" s="1"/>
  <c r="N37" i="4"/>
  <c r="S37" i="4" s="1"/>
  <c r="N36" i="4"/>
  <c r="S36" i="4" s="1"/>
  <c r="N35" i="4"/>
  <c r="S35" i="4" s="1"/>
  <c r="N34" i="4"/>
  <c r="S34" i="4" s="1"/>
  <c r="N33" i="4"/>
  <c r="S33" i="4" s="1"/>
  <c r="N32" i="4"/>
  <c r="S32" i="4" s="1"/>
  <c r="N31" i="4"/>
  <c r="S31" i="4" s="1"/>
  <c r="N30" i="4"/>
  <c r="S30" i="4" s="1"/>
  <c r="N29" i="4"/>
  <c r="S29" i="4" s="1"/>
  <c r="N28" i="4"/>
  <c r="S28" i="4" s="1"/>
  <c r="N27" i="4"/>
  <c r="S27" i="4" s="1"/>
  <c r="N26" i="4"/>
  <c r="S26" i="4" s="1"/>
  <c r="N42" i="4"/>
  <c r="N41" i="4"/>
  <c r="N40" i="4"/>
  <c r="N39" i="4"/>
  <c r="N38" i="4"/>
  <c r="N48" i="4"/>
  <c r="S48" i="4" s="1"/>
  <c r="S15" i="4"/>
  <c r="F11" i="4"/>
  <c r="F7" i="4"/>
  <c r="F52" i="4"/>
  <c r="F14" i="4"/>
  <c r="F15" i="4"/>
  <c r="F22" i="4"/>
  <c r="F36" i="4"/>
  <c r="F32" i="4"/>
  <c r="F28" i="4"/>
  <c r="F47" i="4"/>
  <c r="F39" i="4"/>
  <c r="F56" i="4"/>
  <c r="F16" i="4"/>
  <c r="F48" i="4"/>
  <c r="F23" i="4"/>
  <c r="F19" i="4"/>
  <c r="F37" i="4"/>
  <c r="F33" i="4"/>
  <c r="F29" i="4"/>
  <c r="F44" i="4"/>
  <c r="F40" i="4"/>
  <c r="F57" i="4"/>
  <c r="F53" i="4"/>
  <c r="F49" i="4"/>
  <c r="F46" i="4"/>
  <c r="F55" i="4"/>
  <c r="F8" i="4"/>
  <c r="F24" i="4"/>
  <c r="F34" i="4"/>
  <c r="F30" i="4"/>
  <c r="F26" i="4"/>
  <c r="F45" i="4"/>
  <c r="F41" i="4"/>
  <c r="F13" i="4"/>
  <c r="F54" i="4"/>
  <c r="F50" i="4"/>
  <c r="F31" i="4"/>
  <c r="F12" i="4"/>
  <c r="F38" i="4"/>
  <c r="F51" i="4"/>
  <c r="F43" i="4"/>
  <c r="F35" i="4"/>
  <c r="F27" i="4"/>
  <c r="F6" i="4"/>
  <c r="F42" i="4"/>
  <c r="F18" i="4"/>
  <c r="F10" i="4"/>
  <c r="F25" i="4"/>
  <c r="F17" i="4"/>
  <c r="F9" i="4"/>
  <c r="F21" i="4"/>
  <c r="P38" i="3"/>
  <c r="U38" i="3"/>
  <c r="N30" i="3"/>
  <c r="N31" i="3" s="1"/>
  <c r="N32" i="3" s="1"/>
  <c r="N33" i="3" s="1"/>
  <c r="N34" i="3" s="1"/>
  <c r="N35" i="3" s="1"/>
  <c r="N36" i="3" s="1"/>
  <c r="N37" i="3" s="1"/>
  <c r="U29" i="3"/>
  <c r="T24" i="3"/>
  <c r="T25" i="3" s="1"/>
  <c r="S16" i="3"/>
  <c r="S17" i="3"/>
  <c r="S18" i="3" s="1"/>
  <c r="S19" i="3" s="1"/>
  <c r="S20" i="3" s="1"/>
  <c r="S21" i="3" s="1"/>
  <c r="S22" i="3" s="1"/>
  <c r="S23" i="3" s="1"/>
  <c r="S24" i="3" s="1"/>
  <c r="S25" i="3" s="1"/>
  <c r="S26" i="3" s="1"/>
  <c r="S27" i="3" s="1"/>
  <c r="S15" i="3"/>
  <c r="R16" i="3"/>
  <c r="J17" i="3"/>
  <c r="J7" i="3"/>
  <c r="J8" i="3" s="1"/>
  <c r="J9" i="3" s="1"/>
  <c r="J11" i="3" s="1"/>
  <c r="J12" i="3" s="1"/>
  <c r="J14" i="3" s="1"/>
  <c r="J18" i="3" s="1"/>
  <c r="Q6" i="3"/>
  <c r="Q7" i="3" s="1"/>
  <c r="Q8" i="3" s="1"/>
  <c r="Q9" i="3" s="1"/>
  <c r="I7" i="3"/>
  <c r="I8" i="3" s="1"/>
  <c r="I9" i="3" s="1"/>
  <c r="I10" i="3" s="1"/>
  <c r="I11" i="3" s="1"/>
  <c r="I12" i="3" s="1"/>
  <c r="I13" i="3" s="1"/>
  <c r="I14" i="3" s="1"/>
  <c r="I15" i="3" s="1"/>
  <c r="I16" i="3" s="1"/>
  <c r="I17" i="3" s="1"/>
  <c r="I18" i="3" s="1"/>
  <c r="I19" i="3" s="1"/>
  <c r="I20" i="3" s="1"/>
  <c r="I21" i="3" s="1"/>
  <c r="I22" i="3" s="1"/>
  <c r="I23" i="3" s="1"/>
  <c r="I24" i="3" s="1"/>
  <c r="I25" i="3" s="1"/>
  <c r="I26" i="3" s="1"/>
  <c r="I27" i="3" s="1"/>
  <c r="I28" i="3" s="1"/>
  <c r="I29" i="3" s="1"/>
  <c r="I30" i="3" s="1"/>
  <c r="I31" i="3" s="1"/>
  <c r="I32" i="3" s="1"/>
  <c r="I33" i="3" s="1"/>
  <c r="I34" i="3" s="1"/>
  <c r="I35" i="3" s="1"/>
  <c r="I36" i="3" s="1"/>
  <c r="I37" i="3" s="1"/>
  <c r="I38" i="3" s="1"/>
  <c r="I39" i="3" s="1"/>
  <c r="I40" i="3" s="1"/>
  <c r="I41" i="3" s="1"/>
  <c r="I6" i="3"/>
  <c r="Q5" i="3"/>
  <c r="P7" i="3"/>
  <c r="P8" i="3" s="1"/>
  <c r="P9" i="3" s="1"/>
  <c r="P10" i="3" s="1"/>
  <c r="P11" i="3" s="1"/>
  <c r="P12" i="3" s="1"/>
  <c r="P13" i="3" s="1"/>
  <c r="P14" i="3" s="1"/>
  <c r="P15" i="3" s="1"/>
  <c r="P16" i="3" s="1"/>
  <c r="P17" i="3" s="1"/>
  <c r="P18" i="3" s="1"/>
  <c r="P19" i="3" s="1"/>
  <c r="P20" i="3" s="1"/>
  <c r="P21" i="3" s="1"/>
  <c r="P22" i="3" s="1"/>
  <c r="P23" i="3" s="1"/>
  <c r="P24" i="3" s="1"/>
  <c r="P25" i="3" s="1"/>
  <c r="P26" i="3" s="1"/>
  <c r="P27" i="3" s="1"/>
  <c r="P28" i="3" s="1"/>
  <c r="P29" i="3" s="1"/>
  <c r="P30" i="3" s="1"/>
  <c r="P31" i="3" s="1"/>
  <c r="P32" i="3" s="1"/>
  <c r="P33" i="3" s="1"/>
  <c r="P34" i="3" s="1"/>
  <c r="P35" i="3" s="1"/>
  <c r="P36" i="3" s="1"/>
  <c r="P37" i="3" s="1"/>
  <c r="P6" i="3"/>
  <c r="G23" i="3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5" i="3"/>
  <c r="F6" i="3"/>
  <c r="F7" i="3" s="1"/>
  <c r="F8" i="3" s="1"/>
  <c r="F9" i="3" s="1"/>
  <c r="F10" i="3" s="1"/>
  <c r="F11" i="3" s="1"/>
  <c r="F12" i="3" s="1"/>
  <c r="F13" i="3" s="1"/>
  <c r="F14" i="3" s="1"/>
  <c r="F15" i="3" s="1"/>
  <c r="F16" i="3" s="1"/>
  <c r="F17" i="3" s="1"/>
  <c r="F18" i="3" s="1"/>
  <c r="F19" i="3" s="1"/>
  <c r="F20" i="3" s="1"/>
  <c r="F21" i="3" s="1"/>
  <c r="F22" i="3" s="1"/>
  <c r="F25" i="3" s="1"/>
  <c r="F26" i="3" s="1"/>
  <c r="F29" i="3" s="1"/>
  <c r="F30" i="3" s="1"/>
  <c r="F31" i="3" s="1"/>
  <c r="F32" i="3" s="1"/>
  <c r="F33" i="3" s="1"/>
  <c r="F34" i="3" s="1"/>
  <c r="F35" i="3" s="1"/>
  <c r="F36" i="3" s="1"/>
  <c r="F37" i="3" s="1"/>
  <c r="F38" i="3" s="1"/>
  <c r="F39" i="3" s="1"/>
  <c r="S58" i="4" l="1"/>
  <c r="S57" i="4"/>
  <c r="S56" i="4"/>
  <c r="S55" i="4"/>
  <c r="S54" i="4"/>
  <c r="S53" i="4"/>
  <c r="S52" i="4"/>
  <c r="S51" i="4"/>
  <c r="S50" i="4"/>
  <c r="S49" i="4"/>
  <c r="S47" i="4"/>
  <c r="S46" i="4"/>
  <c r="S45" i="4"/>
  <c r="S44" i="4"/>
  <c r="S43" i="4"/>
  <c r="S42" i="4"/>
  <c r="S41" i="4"/>
  <c r="S40" i="4"/>
  <c r="S39" i="4"/>
  <c r="S38" i="4"/>
  <c r="O48" i="4"/>
  <c r="O38" i="4"/>
  <c r="O49" i="4"/>
  <c r="O50" i="4"/>
  <c r="O51" i="4"/>
  <c r="O52" i="4"/>
  <c r="O53" i="4"/>
  <c r="O54" i="4"/>
  <c r="O55" i="4"/>
  <c r="O56" i="4"/>
  <c r="O57" i="4"/>
  <c r="O58" i="4"/>
  <c r="O39" i="4"/>
  <c r="O40" i="4"/>
  <c r="O41" i="4"/>
  <c r="O42" i="4"/>
  <c r="O43" i="4"/>
  <c r="O44" i="4"/>
  <c r="O45" i="4"/>
  <c r="O46" i="4"/>
  <c r="O47" i="4"/>
  <c r="O26" i="4"/>
  <c r="O27" i="4"/>
  <c r="O28" i="4"/>
  <c r="O29" i="4"/>
  <c r="O30" i="4"/>
  <c r="O31" i="4"/>
  <c r="O32" i="4"/>
  <c r="O33" i="4"/>
  <c r="O34" i="4"/>
  <c r="O35" i="4"/>
  <c r="O36" i="4"/>
  <c r="O37" i="4"/>
  <c r="O17" i="4"/>
  <c r="O18" i="4"/>
  <c r="O19" i="4"/>
  <c r="O20" i="4"/>
  <c r="O21" i="4"/>
  <c r="O22" i="4"/>
  <c r="O23" i="4"/>
  <c r="O24" i="4"/>
  <c r="O3" i="4"/>
  <c r="O4" i="4"/>
  <c r="O5" i="4"/>
  <c r="O6" i="4"/>
  <c r="O7" i="4"/>
  <c r="O8" i="4"/>
  <c r="O9" i="4"/>
  <c r="O10" i="4"/>
  <c r="O11" i="4"/>
  <c r="O12" i="4"/>
  <c r="O13" i="4"/>
  <c r="O14" i="4"/>
  <c r="O15" i="4"/>
  <c r="U30" i="3"/>
  <c r="U31" i="3" s="1"/>
  <c r="U32" i="3" s="1"/>
  <c r="U33" i="3" s="1"/>
  <c r="U34" i="3" s="1"/>
  <c r="U35" i="3" s="1"/>
  <c r="U36" i="3" s="1"/>
  <c r="U37" i="3" s="1"/>
  <c r="T26" i="3"/>
  <c r="T27" i="3" s="1"/>
  <c r="T28" i="3" s="1"/>
  <c r="T29" i="3" s="1"/>
  <c r="T30" i="3" s="1"/>
  <c r="T31" i="3" s="1"/>
  <c r="T32" i="3" s="1"/>
  <c r="R17" i="3"/>
  <c r="Q10" i="3"/>
  <c r="Q11" i="3" s="1"/>
  <c r="Q12" i="3" s="1"/>
  <c r="Q13" i="3" s="1"/>
  <c r="Q14" i="3" s="1"/>
  <c r="Q15" i="3" s="1"/>
  <c r="Q16" i="3" s="1"/>
  <c r="Q17" i="3" s="1"/>
  <c r="Q18" i="3" s="1"/>
  <c r="F40" i="3"/>
  <c r="G39" i="3"/>
  <c r="G37" i="3"/>
  <c r="G35" i="3"/>
  <c r="G33" i="3"/>
  <c r="G31" i="3"/>
  <c r="G29" i="3"/>
  <c r="G27" i="3"/>
  <c r="G25" i="3"/>
  <c r="G38" i="3"/>
  <c r="G36" i="3"/>
  <c r="G34" i="3"/>
  <c r="G32" i="3"/>
  <c r="G30" i="3"/>
  <c r="G28" i="3"/>
  <c r="G26" i="3"/>
  <c r="G24" i="3"/>
  <c r="O5" i="2"/>
  <c r="AV5" i="2" s="1"/>
  <c r="BQ5" i="2" s="1"/>
  <c r="P5" i="2"/>
  <c r="AW5" i="2" s="1"/>
  <c r="Q5" i="2"/>
  <c r="AY5" i="2" s="1"/>
  <c r="R5" i="2"/>
  <c r="AX5" i="2" s="1"/>
  <c r="S5" i="2"/>
  <c r="V5" i="2"/>
  <c r="BA5" i="2" s="1"/>
  <c r="BZ5" i="2" s="1"/>
  <c r="W5" i="2"/>
  <c r="BG5" i="2" s="1"/>
  <c r="X5" i="2"/>
  <c r="BH5" i="2" s="1"/>
  <c r="CA5" i="2" s="1"/>
  <c r="O6" i="2"/>
  <c r="AV6" i="2" s="1"/>
  <c r="BQ6" i="2" s="1"/>
  <c r="P6" i="2"/>
  <c r="AW6" i="2" s="1"/>
  <c r="Q6" i="2"/>
  <c r="AY6" i="2" s="1"/>
  <c r="R6" i="2"/>
  <c r="AX6" i="2" s="1"/>
  <c r="S6" i="2"/>
  <c r="V6" i="2"/>
  <c r="BA6" i="2" s="1"/>
  <c r="BZ6" i="2" s="1"/>
  <c r="W6" i="2"/>
  <c r="BG6" i="2" s="1"/>
  <c r="X6" i="2"/>
  <c r="BH6" i="2" s="1"/>
  <c r="CA6" i="2" s="1"/>
  <c r="O7" i="2"/>
  <c r="AV7" i="2" s="1"/>
  <c r="BQ7" i="2" s="1"/>
  <c r="P7" i="2"/>
  <c r="AW7" i="2" s="1"/>
  <c r="Q7" i="2"/>
  <c r="AY7" i="2" s="1"/>
  <c r="R7" i="2"/>
  <c r="AX7" i="2" s="1"/>
  <c r="S7" i="2"/>
  <c r="V7" i="2"/>
  <c r="BA7" i="2" s="1"/>
  <c r="BZ7" i="2" s="1"/>
  <c r="W7" i="2"/>
  <c r="BG7" i="2" s="1"/>
  <c r="X7" i="2"/>
  <c r="BH7" i="2" s="1"/>
  <c r="CA7" i="2" s="1"/>
  <c r="O8" i="2"/>
  <c r="AV8" i="2" s="1"/>
  <c r="BQ8" i="2" s="1"/>
  <c r="P8" i="2"/>
  <c r="AW8" i="2" s="1"/>
  <c r="Q8" i="2"/>
  <c r="AY8" i="2" s="1"/>
  <c r="R8" i="2"/>
  <c r="AX8" i="2" s="1"/>
  <c r="S8" i="2"/>
  <c r="V8" i="2"/>
  <c r="BA8" i="2" s="1"/>
  <c r="BZ8" i="2" s="1"/>
  <c r="W8" i="2"/>
  <c r="BG8" i="2" s="1"/>
  <c r="X8" i="2"/>
  <c r="BH8" i="2" s="1"/>
  <c r="CA8" i="2" s="1"/>
  <c r="O9" i="2"/>
  <c r="AV9" i="2" s="1"/>
  <c r="BQ9" i="2" s="1"/>
  <c r="P9" i="2"/>
  <c r="AW9" i="2" s="1"/>
  <c r="Q9" i="2"/>
  <c r="AY9" i="2" s="1"/>
  <c r="R9" i="2"/>
  <c r="AX9" i="2" s="1"/>
  <c r="S9" i="2"/>
  <c r="V9" i="2"/>
  <c r="BA9" i="2" s="1"/>
  <c r="BZ9" i="2" s="1"/>
  <c r="W9" i="2"/>
  <c r="BG9" i="2" s="1"/>
  <c r="X9" i="2"/>
  <c r="BH9" i="2" s="1"/>
  <c r="CA9" i="2" s="1"/>
  <c r="O10" i="2"/>
  <c r="AV10" i="2" s="1"/>
  <c r="BQ10" i="2" s="1"/>
  <c r="P10" i="2"/>
  <c r="AW10" i="2" s="1"/>
  <c r="Q10" i="2"/>
  <c r="AY10" i="2" s="1"/>
  <c r="R10" i="2"/>
  <c r="AX10" i="2" s="1"/>
  <c r="S10" i="2"/>
  <c r="V10" i="2"/>
  <c r="BA10" i="2" s="1"/>
  <c r="BZ10" i="2" s="1"/>
  <c r="W10" i="2"/>
  <c r="BG10" i="2" s="1"/>
  <c r="X10" i="2"/>
  <c r="BH10" i="2" s="1"/>
  <c r="CA10" i="2" s="1"/>
  <c r="O11" i="2"/>
  <c r="AV11" i="2" s="1"/>
  <c r="BQ11" i="2" s="1"/>
  <c r="P11" i="2"/>
  <c r="AW11" i="2" s="1"/>
  <c r="Q11" i="2"/>
  <c r="AY11" i="2" s="1"/>
  <c r="R11" i="2"/>
  <c r="AX11" i="2" s="1"/>
  <c r="S11" i="2"/>
  <c r="V11" i="2"/>
  <c r="BA11" i="2" s="1"/>
  <c r="BZ11" i="2" s="1"/>
  <c r="W11" i="2"/>
  <c r="BG11" i="2" s="1"/>
  <c r="X11" i="2"/>
  <c r="BH11" i="2" s="1"/>
  <c r="CA11" i="2" s="1"/>
  <c r="O13" i="2"/>
  <c r="AV13" i="2" s="1"/>
  <c r="BQ13" i="2" s="1"/>
  <c r="P13" i="2"/>
  <c r="AW13" i="2" s="1"/>
  <c r="Q13" i="2"/>
  <c r="AY13" i="2" s="1"/>
  <c r="R13" i="2"/>
  <c r="AX13" i="2" s="1"/>
  <c r="S13" i="2"/>
  <c r="V13" i="2"/>
  <c r="BA13" i="2" s="1"/>
  <c r="BZ13" i="2" s="1"/>
  <c r="W13" i="2"/>
  <c r="BG13" i="2" s="1"/>
  <c r="X13" i="2"/>
  <c r="BH13" i="2" s="1"/>
  <c r="CA13" i="2" s="1"/>
  <c r="O18" i="2"/>
  <c r="AV18" i="2" s="1"/>
  <c r="BQ18" i="2" s="1"/>
  <c r="P18" i="2"/>
  <c r="AW18" i="2" s="1"/>
  <c r="Q18" i="2"/>
  <c r="AY18" i="2" s="1"/>
  <c r="R18" i="2"/>
  <c r="AX18" i="2" s="1"/>
  <c r="S18" i="2"/>
  <c r="V18" i="2"/>
  <c r="BA18" i="2" s="1"/>
  <c r="BZ18" i="2" s="1"/>
  <c r="W18" i="2"/>
  <c r="BG18" i="2" s="1"/>
  <c r="X18" i="2"/>
  <c r="BH18" i="2" s="1"/>
  <c r="CA18" i="2" s="1"/>
  <c r="O15" i="2"/>
  <c r="AV15" i="2" s="1"/>
  <c r="BQ15" i="2" s="1"/>
  <c r="P15" i="2"/>
  <c r="AW15" i="2" s="1"/>
  <c r="Q15" i="2"/>
  <c r="AY15" i="2" s="1"/>
  <c r="R15" i="2"/>
  <c r="AX15" i="2" s="1"/>
  <c r="S15" i="2"/>
  <c r="V15" i="2"/>
  <c r="BA15" i="2" s="1"/>
  <c r="BZ15" i="2" s="1"/>
  <c r="W15" i="2"/>
  <c r="BG15" i="2" s="1"/>
  <c r="X15" i="2"/>
  <c r="BH15" i="2" s="1"/>
  <c r="CA15" i="2" s="1"/>
  <c r="O14" i="2"/>
  <c r="AV14" i="2" s="1"/>
  <c r="BQ14" i="2" s="1"/>
  <c r="P14" i="2"/>
  <c r="AW14" i="2" s="1"/>
  <c r="Q14" i="2"/>
  <c r="AY14" i="2" s="1"/>
  <c r="R14" i="2"/>
  <c r="AX14" i="2" s="1"/>
  <c r="S14" i="2"/>
  <c r="V14" i="2"/>
  <c r="BA14" i="2" s="1"/>
  <c r="BZ14" i="2" s="1"/>
  <c r="W14" i="2"/>
  <c r="BG14" i="2" s="1"/>
  <c r="X14" i="2"/>
  <c r="BH14" i="2" s="1"/>
  <c r="CA14" i="2" s="1"/>
  <c r="O16" i="2"/>
  <c r="AV16" i="2" s="1"/>
  <c r="BQ16" i="2" s="1"/>
  <c r="P16" i="2"/>
  <c r="AW16" i="2" s="1"/>
  <c r="Q16" i="2"/>
  <c r="AY16" i="2" s="1"/>
  <c r="R16" i="2"/>
  <c r="AX16" i="2" s="1"/>
  <c r="S16" i="2"/>
  <c r="V16" i="2"/>
  <c r="BA16" i="2" s="1"/>
  <c r="BZ16" i="2" s="1"/>
  <c r="W16" i="2"/>
  <c r="BG16" i="2" s="1"/>
  <c r="X16" i="2"/>
  <c r="BH16" i="2" s="1"/>
  <c r="CA16" i="2" s="1"/>
  <c r="O17" i="2"/>
  <c r="AV17" i="2" s="1"/>
  <c r="BQ17" i="2" s="1"/>
  <c r="P17" i="2"/>
  <c r="AW17" i="2" s="1"/>
  <c r="Q17" i="2"/>
  <c r="AY17" i="2" s="1"/>
  <c r="R17" i="2"/>
  <c r="AX17" i="2" s="1"/>
  <c r="S17" i="2"/>
  <c r="V17" i="2"/>
  <c r="BA17" i="2" s="1"/>
  <c r="BZ17" i="2" s="1"/>
  <c r="W17" i="2"/>
  <c r="BG17" i="2" s="1"/>
  <c r="X17" i="2"/>
  <c r="BH17" i="2" s="1"/>
  <c r="CA17" i="2" s="1"/>
  <c r="O19" i="2"/>
  <c r="AV19" i="2" s="1"/>
  <c r="BQ19" i="2" s="1"/>
  <c r="P19" i="2"/>
  <c r="AW19" i="2" s="1"/>
  <c r="Q19" i="2"/>
  <c r="AY19" i="2" s="1"/>
  <c r="R19" i="2"/>
  <c r="AX19" i="2" s="1"/>
  <c r="S19" i="2"/>
  <c r="V19" i="2"/>
  <c r="BA19" i="2" s="1"/>
  <c r="BZ19" i="2" s="1"/>
  <c r="W19" i="2"/>
  <c r="BG19" i="2" s="1"/>
  <c r="X19" i="2"/>
  <c r="BH19" i="2" s="1"/>
  <c r="CA19" i="2" s="1"/>
  <c r="O20" i="2"/>
  <c r="AV20" i="2" s="1"/>
  <c r="BQ20" i="2" s="1"/>
  <c r="P20" i="2"/>
  <c r="AW20" i="2" s="1"/>
  <c r="Q20" i="2"/>
  <c r="AY20" i="2" s="1"/>
  <c r="R20" i="2"/>
  <c r="AX20" i="2" s="1"/>
  <c r="S20" i="2"/>
  <c r="V20" i="2"/>
  <c r="BA20" i="2" s="1"/>
  <c r="BZ20" i="2" s="1"/>
  <c r="W20" i="2"/>
  <c r="BG20" i="2" s="1"/>
  <c r="X20" i="2"/>
  <c r="BH20" i="2" s="1"/>
  <c r="CA20" i="2" s="1"/>
  <c r="O21" i="2"/>
  <c r="AV21" i="2" s="1"/>
  <c r="BQ21" i="2" s="1"/>
  <c r="P21" i="2"/>
  <c r="AW21" i="2" s="1"/>
  <c r="Q21" i="2"/>
  <c r="AY21" i="2" s="1"/>
  <c r="R21" i="2"/>
  <c r="AX21" i="2" s="1"/>
  <c r="S21" i="2"/>
  <c r="V21" i="2"/>
  <c r="BA21" i="2" s="1"/>
  <c r="BZ21" i="2" s="1"/>
  <c r="W21" i="2"/>
  <c r="BG21" i="2" s="1"/>
  <c r="X21" i="2"/>
  <c r="BH21" i="2" s="1"/>
  <c r="CA21" i="2" s="1"/>
  <c r="O22" i="2"/>
  <c r="AV22" i="2" s="1"/>
  <c r="BQ22" i="2" s="1"/>
  <c r="P22" i="2"/>
  <c r="AW22" i="2" s="1"/>
  <c r="Q22" i="2"/>
  <c r="AY22" i="2" s="1"/>
  <c r="R22" i="2"/>
  <c r="AX22" i="2" s="1"/>
  <c r="S22" i="2"/>
  <c r="V22" i="2"/>
  <c r="BA22" i="2" s="1"/>
  <c r="BZ22" i="2" s="1"/>
  <c r="W22" i="2"/>
  <c r="BG22" i="2" s="1"/>
  <c r="X22" i="2"/>
  <c r="BH22" i="2" s="1"/>
  <c r="CA22" i="2" s="1"/>
  <c r="O23" i="2"/>
  <c r="AV23" i="2" s="1"/>
  <c r="BQ23" i="2" s="1"/>
  <c r="P23" i="2"/>
  <c r="AW23" i="2" s="1"/>
  <c r="Q23" i="2"/>
  <c r="AY23" i="2" s="1"/>
  <c r="R23" i="2"/>
  <c r="AX23" i="2" s="1"/>
  <c r="S23" i="2"/>
  <c r="V23" i="2"/>
  <c r="BA23" i="2" s="1"/>
  <c r="BZ23" i="2" s="1"/>
  <c r="W23" i="2"/>
  <c r="BG23" i="2" s="1"/>
  <c r="X23" i="2"/>
  <c r="BH23" i="2" s="1"/>
  <c r="CA23" i="2" s="1"/>
  <c r="O24" i="2"/>
  <c r="AV24" i="2" s="1"/>
  <c r="BQ24" i="2" s="1"/>
  <c r="P24" i="2"/>
  <c r="AW24" i="2" s="1"/>
  <c r="Q24" i="2"/>
  <c r="AY24" i="2" s="1"/>
  <c r="R24" i="2"/>
  <c r="AX24" i="2" s="1"/>
  <c r="S24" i="2"/>
  <c r="V24" i="2"/>
  <c r="BA24" i="2" s="1"/>
  <c r="BZ24" i="2" s="1"/>
  <c r="W24" i="2"/>
  <c r="BG24" i="2" s="1"/>
  <c r="X24" i="2"/>
  <c r="BH24" i="2" s="1"/>
  <c r="CA24" i="2" s="1"/>
  <c r="O25" i="2"/>
  <c r="AV25" i="2" s="1"/>
  <c r="BQ25" i="2" s="1"/>
  <c r="P25" i="2"/>
  <c r="AW25" i="2" s="1"/>
  <c r="Q25" i="2"/>
  <c r="AY25" i="2" s="1"/>
  <c r="R25" i="2"/>
  <c r="AX25" i="2" s="1"/>
  <c r="S25" i="2"/>
  <c r="V25" i="2"/>
  <c r="BA25" i="2" s="1"/>
  <c r="BZ25" i="2" s="1"/>
  <c r="W25" i="2"/>
  <c r="BG25" i="2" s="1"/>
  <c r="X25" i="2"/>
  <c r="BH25" i="2" s="1"/>
  <c r="CA25" i="2" s="1"/>
  <c r="O26" i="2"/>
  <c r="AV26" i="2" s="1"/>
  <c r="BQ26" i="2" s="1"/>
  <c r="P26" i="2"/>
  <c r="AW26" i="2" s="1"/>
  <c r="Q26" i="2"/>
  <c r="AY26" i="2" s="1"/>
  <c r="R26" i="2"/>
  <c r="AX26" i="2" s="1"/>
  <c r="S26" i="2"/>
  <c r="V26" i="2"/>
  <c r="BA26" i="2" s="1"/>
  <c r="BZ26" i="2" s="1"/>
  <c r="W26" i="2"/>
  <c r="BG26" i="2" s="1"/>
  <c r="X26" i="2"/>
  <c r="BH26" i="2" s="1"/>
  <c r="CA26" i="2" s="1"/>
  <c r="O27" i="2"/>
  <c r="AV27" i="2" s="1"/>
  <c r="BQ27" i="2" s="1"/>
  <c r="P27" i="2"/>
  <c r="AW27" i="2" s="1"/>
  <c r="Q27" i="2"/>
  <c r="AY27" i="2" s="1"/>
  <c r="R27" i="2"/>
  <c r="AX27" i="2" s="1"/>
  <c r="S27" i="2"/>
  <c r="V27" i="2"/>
  <c r="BA27" i="2" s="1"/>
  <c r="BZ27" i="2" s="1"/>
  <c r="W27" i="2"/>
  <c r="BG27" i="2" s="1"/>
  <c r="X27" i="2"/>
  <c r="BH27" i="2" s="1"/>
  <c r="CA27" i="2" s="1"/>
  <c r="O29" i="2"/>
  <c r="AV29" i="2" s="1"/>
  <c r="BQ29" i="2" s="1"/>
  <c r="P29" i="2"/>
  <c r="AW29" i="2" s="1"/>
  <c r="Q29" i="2"/>
  <c r="AY29" i="2" s="1"/>
  <c r="R29" i="2"/>
  <c r="AX29" i="2" s="1"/>
  <c r="S29" i="2"/>
  <c r="V29" i="2"/>
  <c r="BA29" i="2" s="1"/>
  <c r="BZ29" i="2" s="1"/>
  <c r="W29" i="2"/>
  <c r="BG29" i="2" s="1"/>
  <c r="X29" i="2"/>
  <c r="BH29" i="2" s="1"/>
  <c r="CA29" i="2" s="1"/>
  <c r="O30" i="2"/>
  <c r="AV30" i="2" s="1"/>
  <c r="BQ30" i="2" s="1"/>
  <c r="P30" i="2"/>
  <c r="AW30" i="2" s="1"/>
  <c r="Q30" i="2"/>
  <c r="AY30" i="2" s="1"/>
  <c r="R30" i="2"/>
  <c r="AX30" i="2" s="1"/>
  <c r="S30" i="2"/>
  <c r="V30" i="2"/>
  <c r="BA30" i="2" s="1"/>
  <c r="BZ30" i="2" s="1"/>
  <c r="W30" i="2"/>
  <c r="BG30" i="2" s="1"/>
  <c r="X30" i="2"/>
  <c r="BH30" i="2" s="1"/>
  <c r="CA30" i="2" s="1"/>
  <c r="O31" i="2"/>
  <c r="AV31" i="2" s="1"/>
  <c r="BQ31" i="2" s="1"/>
  <c r="P31" i="2"/>
  <c r="AW31" i="2" s="1"/>
  <c r="Q31" i="2"/>
  <c r="AY31" i="2" s="1"/>
  <c r="R31" i="2"/>
  <c r="AX31" i="2" s="1"/>
  <c r="S31" i="2"/>
  <c r="V31" i="2"/>
  <c r="BA31" i="2" s="1"/>
  <c r="BZ31" i="2" s="1"/>
  <c r="W31" i="2"/>
  <c r="BG31" i="2" s="1"/>
  <c r="X31" i="2"/>
  <c r="BH31" i="2" s="1"/>
  <c r="CA31" i="2" s="1"/>
  <c r="O32" i="2"/>
  <c r="AV32" i="2" s="1"/>
  <c r="BQ32" i="2" s="1"/>
  <c r="P32" i="2"/>
  <c r="AW32" i="2" s="1"/>
  <c r="Q32" i="2"/>
  <c r="AY32" i="2" s="1"/>
  <c r="R32" i="2"/>
  <c r="AX32" i="2" s="1"/>
  <c r="S32" i="2"/>
  <c r="V32" i="2"/>
  <c r="BA32" i="2" s="1"/>
  <c r="BZ32" i="2" s="1"/>
  <c r="W32" i="2"/>
  <c r="BG32" i="2" s="1"/>
  <c r="X32" i="2"/>
  <c r="BH32" i="2" s="1"/>
  <c r="CA32" i="2" s="1"/>
  <c r="O34" i="2"/>
  <c r="AV34" i="2" s="1"/>
  <c r="BQ34" i="2" s="1"/>
  <c r="P34" i="2"/>
  <c r="AW34" i="2" s="1"/>
  <c r="Q34" i="2"/>
  <c r="AY34" i="2" s="1"/>
  <c r="R34" i="2"/>
  <c r="AX34" i="2" s="1"/>
  <c r="S34" i="2"/>
  <c r="V34" i="2"/>
  <c r="BA34" i="2" s="1"/>
  <c r="BZ34" i="2" s="1"/>
  <c r="W34" i="2"/>
  <c r="BG34" i="2" s="1"/>
  <c r="X34" i="2"/>
  <c r="BH34" i="2" s="1"/>
  <c r="CA34" i="2" s="1"/>
  <c r="O35" i="2"/>
  <c r="AV35" i="2" s="1"/>
  <c r="BQ35" i="2" s="1"/>
  <c r="P35" i="2"/>
  <c r="AW35" i="2" s="1"/>
  <c r="Q35" i="2"/>
  <c r="AY35" i="2" s="1"/>
  <c r="R35" i="2"/>
  <c r="AX35" i="2" s="1"/>
  <c r="S35" i="2"/>
  <c r="V35" i="2"/>
  <c r="BA35" i="2" s="1"/>
  <c r="BZ35" i="2" s="1"/>
  <c r="W35" i="2"/>
  <c r="BG35" i="2" s="1"/>
  <c r="X35" i="2"/>
  <c r="BH35" i="2" s="1"/>
  <c r="CA35" i="2" s="1"/>
  <c r="O36" i="2"/>
  <c r="AV36" i="2" s="1"/>
  <c r="BQ36" i="2" s="1"/>
  <c r="P36" i="2"/>
  <c r="AW36" i="2" s="1"/>
  <c r="Q36" i="2"/>
  <c r="AY36" i="2" s="1"/>
  <c r="R36" i="2"/>
  <c r="AX36" i="2" s="1"/>
  <c r="S36" i="2"/>
  <c r="V36" i="2"/>
  <c r="BA36" i="2" s="1"/>
  <c r="BZ36" i="2" s="1"/>
  <c r="W36" i="2"/>
  <c r="BG36" i="2" s="1"/>
  <c r="X36" i="2"/>
  <c r="BH36" i="2" s="1"/>
  <c r="CA36" i="2" s="1"/>
  <c r="O38" i="2"/>
  <c r="AV38" i="2" s="1"/>
  <c r="BQ38" i="2" s="1"/>
  <c r="P38" i="2"/>
  <c r="AW38" i="2" s="1"/>
  <c r="Q38" i="2"/>
  <c r="AY38" i="2" s="1"/>
  <c r="R38" i="2"/>
  <c r="AX38" i="2" s="1"/>
  <c r="S38" i="2"/>
  <c r="V38" i="2"/>
  <c r="BA38" i="2" s="1"/>
  <c r="BZ38" i="2" s="1"/>
  <c r="W38" i="2"/>
  <c r="BG38" i="2" s="1"/>
  <c r="X38" i="2"/>
  <c r="BH38" i="2" s="1"/>
  <c r="CA38" i="2" s="1"/>
  <c r="O39" i="2"/>
  <c r="AV39" i="2" s="1"/>
  <c r="BQ39" i="2" s="1"/>
  <c r="P39" i="2"/>
  <c r="AW39" i="2" s="1"/>
  <c r="Q39" i="2"/>
  <c r="AY39" i="2" s="1"/>
  <c r="R39" i="2"/>
  <c r="AX39" i="2" s="1"/>
  <c r="S39" i="2"/>
  <c r="V39" i="2"/>
  <c r="BA39" i="2" s="1"/>
  <c r="BZ39" i="2" s="1"/>
  <c r="W39" i="2"/>
  <c r="BG39" i="2" s="1"/>
  <c r="X39" i="2"/>
  <c r="BH39" i="2" s="1"/>
  <c r="CA39" i="2" s="1"/>
  <c r="O40" i="2"/>
  <c r="AV40" i="2" s="1"/>
  <c r="BQ40" i="2" s="1"/>
  <c r="P40" i="2"/>
  <c r="AW40" i="2" s="1"/>
  <c r="Q40" i="2"/>
  <c r="AY40" i="2" s="1"/>
  <c r="R40" i="2"/>
  <c r="AX40" i="2" s="1"/>
  <c r="S40" i="2"/>
  <c r="V40" i="2"/>
  <c r="BA40" i="2" s="1"/>
  <c r="BZ40" i="2" s="1"/>
  <c r="W40" i="2"/>
  <c r="BG40" i="2" s="1"/>
  <c r="X40" i="2"/>
  <c r="BH40" i="2" s="1"/>
  <c r="CA40" i="2" s="1"/>
  <c r="O41" i="2"/>
  <c r="AV41" i="2" s="1"/>
  <c r="BQ41" i="2" s="1"/>
  <c r="P41" i="2"/>
  <c r="AW41" i="2" s="1"/>
  <c r="Q41" i="2"/>
  <c r="AY41" i="2" s="1"/>
  <c r="R41" i="2"/>
  <c r="AX41" i="2" s="1"/>
  <c r="S41" i="2"/>
  <c r="V41" i="2"/>
  <c r="BA41" i="2" s="1"/>
  <c r="BZ41" i="2" s="1"/>
  <c r="W41" i="2"/>
  <c r="BG41" i="2" s="1"/>
  <c r="X41" i="2"/>
  <c r="BH41" i="2" s="1"/>
  <c r="CA41" i="2" s="1"/>
  <c r="O42" i="2"/>
  <c r="AV42" i="2" s="1"/>
  <c r="BQ42" i="2" s="1"/>
  <c r="P42" i="2"/>
  <c r="AW42" i="2" s="1"/>
  <c r="Q42" i="2"/>
  <c r="AY42" i="2" s="1"/>
  <c r="R42" i="2"/>
  <c r="AX42" i="2" s="1"/>
  <c r="S42" i="2"/>
  <c r="V42" i="2"/>
  <c r="BA42" i="2" s="1"/>
  <c r="BZ42" i="2" s="1"/>
  <c r="W42" i="2"/>
  <c r="BG42" i="2" s="1"/>
  <c r="X42" i="2"/>
  <c r="BH42" i="2" s="1"/>
  <c r="CA42" i="2" s="1"/>
  <c r="V4" i="2"/>
  <c r="BA4" i="2" s="1"/>
  <c r="BZ4" i="2" s="1"/>
  <c r="R4" i="2"/>
  <c r="AX4" i="2" s="1"/>
  <c r="P4" i="2"/>
  <c r="AW4" i="2" s="1"/>
  <c r="O4" i="2"/>
  <c r="AV4" i="2" s="1"/>
  <c r="X4" i="2"/>
  <c r="BH4" i="2" s="1"/>
  <c r="W4" i="2"/>
  <c r="BG4" i="2" s="1"/>
  <c r="S4" i="2"/>
  <c r="Q4" i="2"/>
  <c r="AY4" i="2" s="1"/>
  <c r="BW34" i="2" l="1"/>
  <c r="BW32" i="2"/>
  <c r="BW30" i="2"/>
  <c r="BW29" i="2"/>
  <c r="BW26" i="2"/>
  <c r="BW25" i="2"/>
  <c r="BW24" i="2"/>
  <c r="CK4" i="2"/>
  <c r="CH4" i="2"/>
  <c r="CI4" i="2" s="1"/>
  <c r="CJ4" i="2" s="1"/>
  <c r="CE4" i="2"/>
  <c r="CF4" i="2" s="1"/>
  <c r="CG4" i="2" s="1"/>
  <c r="BW41" i="2"/>
  <c r="BW40" i="2"/>
  <c r="BW38" i="2"/>
  <c r="BW36" i="2"/>
  <c r="BW23" i="2"/>
  <c r="BW4" i="2"/>
  <c r="CH42" i="2"/>
  <c r="CI42" i="2" s="1"/>
  <c r="CJ42" i="2" s="1"/>
  <c r="CK42" i="2"/>
  <c r="CL42" i="2" s="1"/>
  <c r="CE42" i="2"/>
  <c r="CF42" i="2" s="1"/>
  <c r="CG42" i="2" s="1"/>
  <c r="CK41" i="2"/>
  <c r="CL41" i="2" s="1"/>
  <c r="CH41" i="2"/>
  <c r="CE41" i="2"/>
  <c r="CF41" i="2" s="1"/>
  <c r="CG41" i="2" s="1"/>
  <c r="CH40" i="2"/>
  <c r="CK40" i="2"/>
  <c r="CL40" i="2" s="1"/>
  <c r="CE40" i="2"/>
  <c r="CK39" i="2"/>
  <c r="CL39" i="2" s="1"/>
  <c r="CH39" i="2"/>
  <c r="CI39" i="2" s="1"/>
  <c r="CJ39" i="2" s="1"/>
  <c r="CE39" i="2"/>
  <c r="CF39" i="2" s="1"/>
  <c r="CG39" i="2" s="1"/>
  <c r="CH38" i="2"/>
  <c r="CK38" i="2"/>
  <c r="CL38" i="2" s="1"/>
  <c r="CE38" i="2"/>
  <c r="CK36" i="2"/>
  <c r="CL36" i="2" s="1"/>
  <c r="CH36" i="2"/>
  <c r="CE36" i="2"/>
  <c r="CH35" i="2"/>
  <c r="CI35" i="2" s="1"/>
  <c r="CJ35" i="2" s="1"/>
  <c r="CK35" i="2"/>
  <c r="CL35" i="2" s="1"/>
  <c r="CE35" i="2"/>
  <c r="CF35" i="2" s="1"/>
  <c r="CG35" i="2" s="1"/>
  <c r="CK34" i="2"/>
  <c r="CL34" i="2" s="1"/>
  <c r="CH34" i="2"/>
  <c r="CE34" i="2"/>
  <c r="CF34" i="2" s="1"/>
  <c r="CG34" i="2" s="1"/>
  <c r="CH32" i="2"/>
  <c r="CK32" i="2"/>
  <c r="CL32" i="2" s="1"/>
  <c r="CE32" i="2"/>
  <c r="CK31" i="2"/>
  <c r="CL31" i="2" s="1"/>
  <c r="CH31" i="2"/>
  <c r="CI31" i="2" s="1"/>
  <c r="CJ31" i="2" s="1"/>
  <c r="CE31" i="2"/>
  <c r="CF31" i="2" s="1"/>
  <c r="CG31" i="2" s="1"/>
  <c r="CH30" i="2"/>
  <c r="CI30" i="2" s="1"/>
  <c r="CJ30" i="2" s="1"/>
  <c r="CK30" i="2"/>
  <c r="CL30" i="2" s="1"/>
  <c r="CE30" i="2"/>
  <c r="CF30" i="2" s="1"/>
  <c r="CG30" i="2" s="1"/>
  <c r="CK29" i="2"/>
  <c r="CL29" i="2" s="1"/>
  <c r="CH29" i="2"/>
  <c r="CI29" i="2" s="1"/>
  <c r="CJ29" i="2" s="1"/>
  <c r="CE29" i="2"/>
  <c r="CF29" i="2" s="1"/>
  <c r="CG29" i="2" s="1"/>
  <c r="CH27" i="2"/>
  <c r="CI27" i="2" s="1"/>
  <c r="CJ27" i="2" s="1"/>
  <c r="CK27" i="2"/>
  <c r="CL27" i="2" s="1"/>
  <c r="CE27" i="2"/>
  <c r="CF27" i="2" s="1"/>
  <c r="CG27" i="2" s="1"/>
  <c r="CK26" i="2"/>
  <c r="CL26" i="2" s="1"/>
  <c r="CH26" i="2"/>
  <c r="CE26" i="2"/>
  <c r="CF26" i="2" s="1"/>
  <c r="CG26" i="2" s="1"/>
  <c r="CH25" i="2"/>
  <c r="CI25" i="2" s="1"/>
  <c r="CJ25" i="2" s="1"/>
  <c r="CK25" i="2"/>
  <c r="CL25" i="2" s="1"/>
  <c r="CE25" i="2"/>
  <c r="CF25" i="2" s="1"/>
  <c r="CG25" i="2" s="1"/>
  <c r="CK24" i="2"/>
  <c r="CL24" i="2" s="1"/>
  <c r="CH24" i="2"/>
  <c r="CI24" i="2" s="1"/>
  <c r="CJ24" i="2" s="1"/>
  <c r="CE24" i="2"/>
  <c r="CF24" i="2" s="1"/>
  <c r="CG24" i="2" s="1"/>
  <c r="CH23" i="2"/>
  <c r="CK23" i="2"/>
  <c r="CL23" i="2" s="1"/>
  <c r="CE23" i="2"/>
  <c r="CK22" i="2"/>
  <c r="CL22" i="2" s="1"/>
  <c r="CH22" i="2"/>
  <c r="CI22" i="2" s="1"/>
  <c r="CJ22" i="2" s="1"/>
  <c r="CE22" i="2"/>
  <c r="CF22" i="2" s="1"/>
  <c r="CG22" i="2" s="1"/>
  <c r="CH21" i="2"/>
  <c r="CK21" i="2"/>
  <c r="CL21" i="2" s="1"/>
  <c r="CE21" i="2"/>
  <c r="CK20" i="2"/>
  <c r="CL20" i="2" s="1"/>
  <c r="CH20" i="2"/>
  <c r="CE20" i="2"/>
  <c r="CF20" i="2" s="1"/>
  <c r="CG20" i="2" s="1"/>
  <c r="CH19" i="2"/>
  <c r="CK19" i="2"/>
  <c r="CL19" i="2" s="1"/>
  <c r="CE19" i="2"/>
  <c r="CH17" i="2"/>
  <c r="CK17" i="2"/>
  <c r="CE17" i="2"/>
  <c r="CF17" i="2" s="1"/>
  <c r="CG17" i="2" s="1"/>
  <c r="CK16" i="2"/>
  <c r="CH16" i="2"/>
  <c r="CI16" i="2" s="1"/>
  <c r="CJ16" i="2" s="1"/>
  <c r="CE16" i="2"/>
  <c r="CK14" i="2"/>
  <c r="CL14" i="2" s="1"/>
  <c r="CH14" i="2"/>
  <c r="CE14" i="2"/>
  <c r="CF14" i="2" s="1"/>
  <c r="CG14" i="2" s="1"/>
  <c r="CH15" i="2"/>
  <c r="CK15" i="2"/>
  <c r="CL15" i="2" s="1"/>
  <c r="CE15" i="2"/>
  <c r="CK18" i="2"/>
  <c r="CL18" i="2" s="1"/>
  <c r="CH18" i="2"/>
  <c r="CE18" i="2"/>
  <c r="CF18" i="2" s="1"/>
  <c r="CG18" i="2" s="1"/>
  <c r="CK13" i="2"/>
  <c r="CH13" i="2"/>
  <c r="CI13" i="2" s="1"/>
  <c r="CJ13" i="2" s="1"/>
  <c r="CE13" i="2"/>
  <c r="CK11" i="2"/>
  <c r="CL11" i="2" s="1"/>
  <c r="CH11" i="2"/>
  <c r="CE11" i="2"/>
  <c r="CF11" i="2" s="1"/>
  <c r="CG11" i="2" s="1"/>
  <c r="CH10" i="2"/>
  <c r="CK10" i="2"/>
  <c r="CL10" i="2" s="1"/>
  <c r="CE10" i="2"/>
  <c r="CK9" i="2"/>
  <c r="CL9" i="2" s="1"/>
  <c r="CH9" i="2"/>
  <c r="CE9" i="2"/>
  <c r="CF9" i="2" s="1"/>
  <c r="CG9" i="2" s="1"/>
  <c r="CH8" i="2"/>
  <c r="CK8" i="2"/>
  <c r="CL8" i="2" s="1"/>
  <c r="CE8" i="2"/>
  <c r="CK7" i="2"/>
  <c r="CL7" i="2" s="1"/>
  <c r="CH7" i="2"/>
  <c r="CE7" i="2"/>
  <c r="CF7" i="2" s="1"/>
  <c r="CG7" i="2" s="1"/>
  <c r="CH6" i="2"/>
  <c r="CK6" i="2"/>
  <c r="CL6" i="2" s="1"/>
  <c r="CE6" i="2"/>
  <c r="CK5" i="2"/>
  <c r="CL5" i="2" s="1"/>
  <c r="CH5" i="2"/>
  <c r="CE5" i="2"/>
  <c r="CF5" i="2" s="1"/>
  <c r="CG5" i="2" s="1"/>
  <c r="BW42" i="2"/>
  <c r="CI41" i="2"/>
  <c r="CJ41" i="2" s="1"/>
  <c r="CI40" i="2"/>
  <c r="CJ40" i="2" s="1"/>
  <c r="CF40" i="2"/>
  <c r="CG40" i="2" s="1"/>
  <c r="BW39" i="2"/>
  <c r="CI38" i="2"/>
  <c r="CJ38" i="2" s="1"/>
  <c r="CF38" i="2"/>
  <c r="CG38" i="2" s="1"/>
  <c r="CI36" i="2"/>
  <c r="CJ36" i="2" s="1"/>
  <c r="CF36" i="2"/>
  <c r="CG36" i="2" s="1"/>
  <c r="BW35" i="2"/>
  <c r="CI34" i="2"/>
  <c r="CJ34" i="2" s="1"/>
  <c r="CI32" i="2"/>
  <c r="CJ32" i="2" s="1"/>
  <c r="CF32" i="2"/>
  <c r="CG32" i="2" s="1"/>
  <c r="BW31" i="2"/>
  <c r="BW27" i="2"/>
  <c r="CI26" i="2"/>
  <c r="CJ26" i="2" s="1"/>
  <c r="CI23" i="2"/>
  <c r="CJ23" i="2" s="1"/>
  <c r="CF23" i="2"/>
  <c r="CG23" i="2" s="1"/>
  <c r="BW22" i="2"/>
  <c r="CI21" i="2"/>
  <c r="CJ21" i="2" s="1"/>
  <c r="CF21" i="2"/>
  <c r="CG21" i="2" s="1"/>
  <c r="BW21" i="2"/>
  <c r="CI20" i="2"/>
  <c r="CJ20" i="2" s="1"/>
  <c r="BW20" i="2"/>
  <c r="CI19" i="2"/>
  <c r="CJ19" i="2" s="1"/>
  <c r="CF19" i="2"/>
  <c r="CG19" i="2" s="1"/>
  <c r="BW19" i="2"/>
  <c r="CI17" i="2"/>
  <c r="CJ17" i="2" s="1"/>
  <c r="BW17" i="2"/>
  <c r="CF16" i="2"/>
  <c r="CG16" i="2" s="1"/>
  <c r="BW16" i="2"/>
  <c r="CI14" i="2"/>
  <c r="CJ14" i="2" s="1"/>
  <c r="BW14" i="2"/>
  <c r="CI15" i="2"/>
  <c r="CJ15" i="2" s="1"/>
  <c r="CF15" i="2"/>
  <c r="CG15" i="2" s="1"/>
  <c r="BW15" i="2"/>
  <c r="CI18" i="2"/>
  <c r="CJ18" i="2" s="1"/>
  <c r="BW18" i="2"/>
  <c r="CF13" i="2"/>
  <c r="CG13" i="2" s="1"/>
  <c r="BW13" i="2"/>
  <c r="CI11" i="2"/>
  <c r="CJ11" i="2" s="1"/>
  <c r="BW11" i="2"/>
  <c r="CI10" i="2"/>
  <c r="CJ10" i="2" s="1"/>
  <c r="CF10" i="2"/>
  <c r="CG10" i="2" s="1"/>
  <c r="BW10" i="2"/>
  <c r="CI9" i="2"/>
  <c r="CJ9" i="2" s="1"/>
  <c r="BW9" i="2"/>
  <c r="CI8" i="2"/>
  <c r="CJ8" i="2" s="1"/>
  <c r="CF8" i="2"/>
  <c r="CG8" i="2" s="1"/>
  <c r="BW8" i="2"/>
  <c r="CI7" i="2"/>
  <c r="CJ7" i="2" s="1"/>
  <c r="BW7" i="2"/>
  <c r="CI6" i="2"/>
  <c r="CJ6" i="2" s="1"/>
  <c r="CF6" i="2"/>
  <c r="CG6" i="2" s="1"/>
  <c r="BW6" i="2"/>
  <c r="CI5" i="2"/>
  <c r="CJ5" i="2" s="1"/>
  <c r="BW5" i="2"/>
  <c r="BT4" i="2"/>
  <c r="BU4" i="2" s="1"/>
  <c r="BV4" i="2" s="1"/>
  <c r="BR18" i="2"/>
  <c r="BS18" i="2" s="1"/>
  <c r="BO27" i="2"/>
  <c r="CB26" i="2"/>
  <c r="CC26" i="2" s="1"/>
  <c r="BO26" i="2"/>
  <c r="CB25" i="2"/>
  <c r="CC25" i="2" s="1"/>
  <c r="BO25" i="2"/>
  <c r="BO24" i="2"/>
  <c r="BO23" i="2"/>
  <c r="BO22" i="2"/>
  <c r="CB21" i="2"/>
  <c r="CC21" i="2" s="1"/>
  <c r="BO21" i="2"/>
  <c r="BO20" i="2"/>
  <c r="BO19" i="2"/>
  <c r="CB17" i="2"/>
  <c r="CC17" i="2" s="1"/>
  <c r="BO17" i="2"/>
  <c r="BO16" i="2"/>
  <c r="BO14" i="2"/>
  <c r="BO15" i="2"/>
  <c r="BO13" i="2"/>
  <c r="BO11" i="2"/>
  <c r="BO10" i="2"/>
  <c r="BO9" i="2"/>
  <c r="BO8" i="2"/>
  <c r="BO7" i="2"/>
  <c r="BO6" i="2"/>
  <c r="CB42" i="2"/>
  <c r="CC42" i="2" s="1"/>
  <c r="BO42" i="2"/>
  <c r="BR42" i="2"/>
  <c r="BS42" i="2" s="1"/>
  <c r="BT42" i="2"/>
  <c r="BU42" i="2" s="1"/>
  <c r="BV42" i="2" s="1"/>
  <c r="CB41" i="2"/>
  <c r="CC41" i="2" s="1"/>
  <c r="BO41" i="2"/>
  <c r="BT41" i="2"/>
  <c r="BU41" i="2" s="1"/>
  <c r="BV41" i="2" s="1"/>
  <c r="BR41" i="2"/>
  <c r="BS41" i="2" s="1"/>
  <c r="CB40" i="2"/>
  <c r="CC40" i="2" s="1"/>
  <c r="BO40" i="2"/>
  <c r="BR40" i="2"/>
  <c r="BS40" i="2" s="1"/>
  <c r="BT40" i="2"/>
  <c r="BU40" i="2" s="1"/>
  <c r="BV40" i="2" s="1"/>
  <c r="CB39" i="2"/>
  <c r="CC39" i="2" s="1"/>
  <c r="BO39" i="2"/>
  <c r="BT39" i="2"/>
  <c r="BU39" i="2" s="1"/>
  <c r="BV39" i="2" s="1"/>
  <c r="BR39" i="2"/>
  <c r="BS39" i="2" s="1"/>
  <c r="CB38" i="2"/>
  <c r="CC38" i="2" s="1"/>
  <c r="BO38" i="2"/>
  <c r="BT38" i="2"/>
  <c r="BU38" i="2" s="1"/>
  <c r="BV38" i="2" s="1"/>
  <c r="BR38" i="2"/>
  <c r="BS38" i="2" s="1"/>
  <c r="CB36" i="2"/>
  <c r="CC36" i="2" s="1"/>
  <c r="BO36" i="2"/>
  <c r="BT36" i="2"/>
  <c r="BU36" i="2" s="1"/>
  <c r="BV36" i="2" s="1"/>
  <c r="BR36" i="2"/>
  <c r="BS36" i="2" s="1"/>
  <c r="CB35" i="2"/>
  <c r="CC35" i="2" s="1"/>
  <c r="BO35" i="2"/>
  <c r="BR35" i="2"/>
  <c r="BS35" i="2" s="1"/>
  <c r="BT35" i="2"/>
  <c r="BU35" i="2" s="1"/>
  <c r="BV35" i="2" s="1"/>
  <c r="CB34" i="2"/>
  <c r="CC34" i="2" s="1"/>
  <c r="BO34" i="2"/>
  <c r="BT34" i="2"/>
  <c r="BU34" i="2" s="1"/>
  <c r="BV34" i="2" s="1"/>
  <c r="BR34" i="2"/>
  <c r="BS34" i="2" s="1"/>
  <c r="CB32" i="2"/>
  <c r="CC32" i="2" s="1"/>
  <c r="BO32" i="2"/>
  <c r="BT32" i="2"/>
  <c r="BU32" i="2" s="1"/>
  <c r="BV32" i="2" s="1"/>
  <c r="BR32" i="2"/>
  <c r="BS32" i="2" s="1"/>
  <c r="CB31" i="2"/>
  <c r="CC31" i="2" s="1"/>
  <c r="BO31" i="2"/>
  <c r="BR31" i="2"/>
  <c r="BS31" i="2" s="1"/>
  <c r="BT31" i="2"/>
  <c r="BU31" i="2" s="1"/>
  <c r="BV31" i="2" s="1"/>
  <c r="CB30" i="2"/>
  <c r="CC30" i="2" s="1"/>
  <c r="BO30" i="2"/>
  <c r="BT30" i="2"/>
  <c r="BU30" i="2" s="1"/>
  <c r="BV30" i="2" s="1"/>
  <c r="BR30" i="2"/>
  <c r="BS30" i="2" s="1"/>
  <c r="CB29" i="2"/>
  <c r="CC29" i="2" s="1"/>
  <c r="BO29" i="2"/>
  <c r="BT29" i="2"/>
  <c r="BU29" i="2" s="1"/>
  <c r="BV29" i="2" s="1"/>
  <c r="BR29" i="2"/>
  <c r="BS29" i="2" s="1"/>
  <c r="BT26" i="2"/>
  <c r="BU26" i="2" s="1"/>
  <c r="BV26" i="2" s="1"/>
  <c r="BR26" i="2"/>
  <c r="BS26" i="2" s="1"/>
  <c r="BT21" i="2"/>
  <c r="BU21" i="2" s="1"/>
  <c r="BV21" i="2" s="1"/>
  <c r="BR21" i="2"/>
  <c r="BS21" i="2" s="1"/>
  <c r="CB20" i="2"/>
  <c r="CC20" i="2" s="1"/>
  <c r="BT20" i="2"/>
  <c r="BU20" i="2" s="1"/>
  <c r="BV20" i="2" s="1"/>
  <c r="BR20" i="2"/>
  <c r="BS20" i="2" s="1"/>
  <c r="CB19" i="2"/>
  <c r="CC19" i="2" s="1"/>
  <c r="BT17" i="2"/>
  <c r="BU17" i="2" s="1"/>
  <c r="BV17" i="2" s="1"/>
  <c r="BR17" i="2"/>
  <c r="BS17" i="2" s="1"/>
  <c r="CB27" i="2"/>
  <c r="CC27" i="2" s="1"/>
  <c r="BR27" i="2"/>
  <c r="BS27" i="2" s="1"/>
  <c r="BT27" i="2"/>
  <c r="BU27" i="2" s="1"/>
  <c r="BV27" i="2" s="1"/>
  <c r="BT25" i="2"/>
  <c r="BU25" i="2" s="1"/>
  <c r="BV25" i="2" s="1"/>
  <c r="BR25" i="2"/>
  <c r="BS25" i="2" s="1"/>
  <c r="CB24" i="2"/>
  <c r="CC24" i="2" s="1"/>
  <c r="BR24" i="2"/>
  <c r="BS24" i="2" s="1"/>
  <c r="BT24" i="2"/>
  <c r="BU24" i="2" s="1"/>
  <c r="BV24" i="2" s="1"/>
  <c r="CB23" i="2"/>
  <c r="CC23" i="2" s="1"/>
  <c r="BT23" i="2"/>
  <c r="BU23" i="2" s="1"/>
  <c r="BV23" i="2" s="1"/>
  <c r="BR23" i="2"/>
  <c r="BS23" i="2" s="1"/>
  <c r="CB22" i="2"/>
  <c r="CC22" i="2" s="1"/>
  <c r="BT22" i="2"/>
  <c r="BU22" i="2" s="1"/>
  <c r="BV22" i="2" s="1"/>
  <c r="BR22" i="2"/>
  <c r="BS22" i="2" s="1"/>
  <c r="BR19" i="2"/>
  <c r="BS19" i="2" s="1"/>
  <c r="BT19" i="2"/>
  <c r="BU19" i="2" s="1"/>
  <c r="BV19" i="2" s="1"/>
  <c r="CB16" i="2"/>
  <c r="CC16" i="2" s="1"/>
  <c r="BR16" i="2"/>
  <c r="BS16" i="2" s="1"/>
  <c r="BT16" i="2"/>
  <c r="BU16" i="2" s="1"/>
  <c r="BV16" i="2" s="1"/>
  <c r="CB14" i="2"/>
  <c r="CC14" i="2" s="1"/>
  <c r="BT14" i="2"/>
  <c r="BU14" i="2" s="1"/>
  <c r="BV14" i="2" s="1"/>
  <c r="BR14" i="2"/>
  <c r="BS14" i="2" s="1"/>
  <c r="CB15" i="2"/>
  <c r="CC15" i="2" s="1"/>
  <c r="BT15" i="2"/>
  <c r="BU15" i="2" s="1"/>
  <c r="BV15" i="2" s="1"/>
  <c r="BR15" i="2"/>
  <c r="BS15" i="2" s="1"/>
  <c r="CB18" i="2"/>
  <c r="CC18" i="2" s="1"/>
  <c r="CB13" i="2"/>
  <c r="CC13" i="2" s="1"/>
  <c r="BT13" i="2"/>
  <c r="BU13" i="2" s="1"/>
  <c r="BV13" i="2" s="1"/>
  <c r="BR13" i="2"/>
  <c r="BS13" i="2" s="1"/>
  <c r="CB11" i="2"/>
  <c r="CC11" i="2" s="1"/>
  <c r="BR11" i="2"/>
  <c r="BS11" i="2" s="1"/>
  <c r="BT11" i="2"/>
  <c r="BU11" i="2" s="1"/>
  <c r="BV11" i="2" s="1"/>
  <c r="CB10" i="2"/>
  <c r="CC10" i="2" s="1"/>
  <c r="BT10" i="2"/>
  <c r="BU10" i="2" s="1"/>
  <c r="BV10" i="2" s="1"/>
  <c r="BR10" i="2"/>
  <c r="BS10" i="2" s="1"/>
  <c r="CB9" i="2"/>
  <c r="CC9" i="2" s="1"/>
  <c r="BT9" i="2"/>
  <c r="BU9" i="2" s="1"/>
  <c r="BV9" i="2" s="1"/>
  <c r="BR9" i="2"/>
  <c r="BS9" i="2" s="1"/>
  <c r="CB8" i="2"/>
  <c r="CC8" i="2" s="1"/>
  <c r="BT8" i="2"/>
  <c r="BU8" i="2" s="1"/>
  <c r="BV8" i="2" s="1"/>
  <c r="BR8" i="2"/>
  <c r="BS8" i="2" s="1"/>
  <c r="CB7" i="2"/>
  <c r="CC7" i="2" s="1"/>
  <c r="BR7" i="2"/>
  <c r="BS7" i="2" s="1"/>
  <c r="BT7" i="2"/>
  <c r="BU7" i="2" s="1"/>
  <c r="BV7" i="2" s="1"/>
  <c r="CB6" i="2"/>
  <c r="CC6" i="2" s="1"/>
  <c r="BT6" i="2"/>
  <c r="BU6" i="2" s="1"/>
  <c r="BV6" i="2" s="1"/>
  <c r="BR6" i="2"/>
  <c r="BS6" i="2" s="1"/>
  <c r="CB5" i="2"/>
  <c r="CC5" i="2" s="1"/>
  <c r="BO5" i="2"/>
  <c r="BT5" i="2"/>
  <c r="BU5" i="2" s="1"/>
  <c r="BV5" i="2" s="1"/>
  <c r="BR5" i="2"/>
  <c r="BS5" i="2" s="1"/>
  <c r="BO4" i="2"/>
  <c r="CA4" i="2"/>
  <c r="CB4" i="2" s="1"/>
  <c r="CC4" i="2" s="1"/>
  <c r="BR4" i="2"/>
  <c r="BQ4" i="2"/>
  <c r="BS4" i="2"/>
  <c r="BO18" i="2"/>
  <c r="BT18" i="2"/>
  <c r="BU18" i="2" s="1"/>
  <c r="BV18" i="2" s="1"/>
  <c r="R18" i="3"/>
  <c r="R19" i="3" s="1"/>
  <c r="F41" i="3"/>
  <c r="G41" i="3" s="1"/>
  <c r="G40" i="3"/>
  <c r="BX9" i="2" l="1"/>
  <c r="BX14" i="2"/>
  <c r="BX17" i="2"/>
  <c r="BX22" i="2"/>
  <c r="BX4" i="2"/>
  <c r="BX26" i="2"/>
  <c r="BX38" i="2"/>
  <c r="BX29" i="2"/>
  <c r="BX39" i="2"/>
  <c r="BX34" i="2"/>
  <c r="BX41" i="2"/>
  <c r="BX5" i="2"/>
  <c r="BX7" i="2"/>
  <c r="BX11" i="2"/>
  <c r="BX18" i="2"/>
  <c r="BX20" i="2"/>
  <c r="BX25" i="2"/>
  <c r="BX31" i="2"/>
  <c r="BX6" i="2"/>
  <c r="BX8" i="2"/>
  <c r="BX10" i="2"/>
  <c r="BX13" i="2"/>
  <c r="BX15" i="2"/>
  <c r="BX16" i="2"/>
  <c r="BX19" i="2"/>
  <c r="BX21" i="2"/>
  <c r="BX24" i="2"/>
  <c r="BX27" i="2"/>
  <c r="BX30" i="2"/>
  <c r="BX35" i="2"/>
  <c r="BX42" i="2"/>
  <c r="CL13" i="2"/>
  <c r="CL16" i="2"/>
  <c r="CL17" i="2"/>
  <c r="BX23" i="2"/>
  <c r="BX32" i="2"/>
  <c r="BX36" i="2"/>
  <c r="BX40" i="2"/>
  <c r="CL4" i="2"/>
  <c r="R20" i="3"/>
  <c r="R21" i="3" l="1"/>
  <c r="R22" i="3" l="1"/>
  <c r="R23" i="3" l="1"/>
  <c r="O2" i="4" l="1"/>
  <c r="S2" i="4"/>
  <c r="N16" i="4"/>
  <c r="S16" i="4" s="1"/>
  <c r="O16" i="4" l="1"/>
  <c r="N25" i="4"/>
  <c r="S25" i="4" l="1"/>
  <c r="O25" i="4"/>
</calcChain>
</file>

<file path=xl/sharedStrings.xml><?xml version="1.0" encoding="utf-8"?>
<sst xmlns="http://schemas.openxmlformats.org/spreadsheetml/2006/main" count="1021" uniqueCount="454">
  <si>
    <t>Climate</t>
  </si>
  <si>
    <t>Model name</t>
  </si>
  <si>
    <t>Cost</t>
  </si>
  <si>
    <t>Speed</t>
  </si>
  <si>
    <t>Weight</t>
  </si>
  <si>
    <t>Power</t>
  </si>
  <si>
    <t>M.T.E.*</t>
  </si>
  <si>
    <t>Running Costs/year</t>
  </si>
  <si>
    <t>Designed</t>
  </si>
  <si>
    <t>Lifespan</t>
  </si>
  <si>
    <t>Capacity</t>
  </si>
  <si>
    <t>TSRY</t>
  </si>
  <si>
    <t>Original TTD name</t>
  </si>
  <si>
    <t>£ ($)</t>
  </si>
  <si>
    <t>km/h (mph)</t>
  </si>
  <si>
    <t>t</t>
  </si>
  <si>
    <t>hp (kW)</t>
  </si>
  <si>
    <t>kN</t>
  </si>
  <si>
    <t>£ / yr ($ / yr)</t>
  </si>
  <si>
    <t>year</t>
  </si>
  <si>
    <t>years</t>
  </si>
  <si>
    <t>T___</t>
  </si>
  <si>
    <t>Collet Pannier Tank (Kirby Paul Tank)</t>
  </si>
  <si>
    <t>8,203 (16,406)</t>
  </si>
  <si>
    <t>64 (40)</t>
  </si>
  <si>
    <t>300 (224)</t>
  </si>
  <si>
    <t>820 (1,640)</t>
  </si>
  <si>
    <t>N/A</t>
  </si>
  <si>
    <t>Stanier 'Jubilee (Chaney "Jubilee")</t>
  </si>
  <si>
    <t>15,234 (30,468)</t>
  </si>
  <si>
    <t>112 (70)</t>
  </si>
  <si>
    <t>1,000 (746)</t>
  </si>
  <si>
    <t>1,968 (3,936)</t>
  </si>
  <si>
    <t>Gresley 'A4' (Ginzu "A4")</t>
  </si>
  <si>
    <t>22,265 (44,530)</t>
  </si>
  <si>
    <t>128 (80)</t>
  </si>
  <si>
    <t>1,200 (895)</t>
  </si>
  <si>
    <t>2,296 (4,592)</t>
  </si>
  <si>
    <t>BR '8P' (SH "8P")</t>
  </si>
  <si>
    <t>25,781 (51,562)</t>
  </si>
  <si>
    <t>144 (90)</t>
  </si>
  <si>
    <t>1,600 (1,193)</t>
  </si>
  <si>
    <t>2,132 (4,264)</t>
  </si>
  <si>
    <t>_SR_</t>
  </si>
  <si>
    <t>Wills 2-8-0</t>
  </si>
  <si>
    <t>16,406 (32,812)</t>
  </si>
  <si>
    <t>88 (55)</t>
  </si>
  <si>
    <t>1,100 (820)</t>
  </si>
  <si>
    <t>___Y</t>
  </si>
  <si>
    <t>Ploddyphut Choo-Choo</t>
  </si>
  <si>
    <t>11,718 (23,514)</t>
  </si>
  <si>
    <t>72 (45)</t>
  </si>
  <si>
    <t>400 (298)</t>
  </si>
  <si>
    <t>1,476 (2,952)</t>
  </si>
  <si>
    <t>Powernaut Choo-Choo</t>
  </si>
  <si>
    <t>17,578 (35,270)</t>
  </si>
  <si>
    <t>96 (60)</t>
  </si>
  <si>
    <t>900 (671)</t>
  </si>
  <si>
    <t>Mightymover Choo-Choo</t>
  </si>
  <si>
    <t>22,265 (44,676)</t>
  </si>
  <si>
    <t>2,378 (4,756)</t>
  </si>
  <si>
    <t>Metro Cammell DMU (Manley-Morel DMU)</t>
  </si>
  <si>
    <t>12,890 (25,780)</t>
  </si>
  <si>
    <t>600 (447)</t>
  </si>
  <si>
    <t>1,278 (2,556)</t>
  </si>
  <si>
    <t>76 pass</t>
  </si>
  <si>
    <t>'Sprinter' ("Dash")</t>
  </si>
  <si>
    <t>120 (75)</t>
  </si>
  <si>
    <t>700 (523)</t>
  </si>
  <si>
    <t>1,066 (2,132)</t>
  </si>
  <si>
    <t>80 pass</t>
  </si>
  <si>
    <t>BR/Sulzer '25' (SH/Hendry "25")</t>
  </si>
  <si>
    <t>17,578 (35,156)</t>
  </si>
  <si>
    <t>1,250 (932)</t>
  </si>
  <si>
    <t>1,447 (2,894)</t>
  </si>
  <si>
    <t>EE '37' (UU "37")</t>
  </si>
  <si>
    <t>19,921 (39,842)</t>
  </si>
  <si>
    <t>1,750 (1,305)</t>
  </si>
  <si>
    <t>1,828 (3,656)</t>
  </si>
  <si>
    <t>Brush '47' (Floss "47")</t>
  </si>
  <si>
    <t>21,093 (42,186)</t>
  </si>
  <si>
    <t>160 (100)</t>
  </si>
  <si>
    <t>2,580 (1,924)</t>
  </si>
  <si>
    <t>BR 'IC125' (SH "125")</t>
  </si>
  <si>
    <t>23,437 (46,874)</t>
  </si>
  <si>
    <t>201 (125)</t>
  </si>
  <si>
    <t>4,500 (3,356)</t>
  </si>
  <si>
    <t>2,894 (5,788)</t>
  </si>
  <si>
    <t>8 mail</t>
  </si>
  <si>
    <t>MJS250</t>
  </si>
  <si>
    <t>9,375 (18,750)</t>
  </si>
  <si>
    <t>80 (50)</t>
  </si>
  <si>
    <t>990 (1,980)</t>
  </si>
  <si>
    <t>Kelling 3100</t>
  </si>
  <si>
    <t>104 (65)</t>
  </si>
  <si>
    <t>1,500 (1,119)</t>
  </si>
  <si>
    <t>1,599 (3,198)</t>
  </si>
  <si>
    <t>Centennial</t>
  </si>
  <si>
    <t>35,156 (70,312)</t>
  </si>
  <si>
    <t>6,600 (4,922)</t>
  </si>
  <si>
    <t>2,361 (4,722)</t>
  </si>
  <si>
    <t>CS4000</t>
  </si>
  <si>
    <t>26,953 (53,906)</t>
  </si>
  <si>
    <t>4,000 (2,983)</t>
  </si>
  <si>
    <t>2,956 (5,912)</t>
  </si>
  <si>
    <t>CS2400</t>
  </si>
  <si>
    <t>18,750 (37,500)</t>
  </si>
  <si>
    <t>2,400 (1,790)</t>
  </si>
  <si>
    <t>MJS 1000</t>
  </si>
  <si>
    <t>24,609 (49,218)</t>
  </si>
  <si>
    <t>2,200 (1,641)</t>
  </si>
  <si>
    <t>2,208 (4,416)</t>
  </si>
  <si>
    <t>Turner Turbo</t>
  </si>
  <si>
    <t>41,014 (82,028)</t>
  </si>
  <si>
    <t>3,500 (2,610)</t>
  </si>
  <si>
    <t>3,122 (6,244)</t>
  </si>
  <si>
    <t>Ploddyphut Diesel</t>
  </si>
  <si>
    <t>18,750 (37,622)</t>
  </si>
  <si>
    <t>1,400 (1,044)</t>
  </si>
  <si>
    <t>1,904 (3,808)</t>
  </si>
  <si>
    <t>Powernaut Diesel</t>
  </si>
  <si>
    <t>23,437 (47,028)</t>
  </si>
  <si>
    <t>152 (95)</t>
  </si>
  <si>
    <t>2,000 (1,491)</t>
  </si>
  <si>
    <t>2,056 (4,112)</t>
  </si>
  <si>
    <t>BR '86' (SH "30")</t>
  </si>
  <si>
    <t>30,468 (60,936)</t>
  </si>
  <si>
    <t>3,600 (2,685)</t>
  </si>
  <si>
    <t>2,531 (5,062)</t>
  </si>
  <si>
    <t>BR '87' (SH "40")</t>
  </si>
  <si>
    <t>177 (110)</t>
  </si>
  <si>
    <t>5,000 (3,728)</t>
  </si>
  <si>
    <t>2,882 (5,764)</t>
  </si>
  <si>
    <t>'T.G.V.' ("T.I.M.")</t>
  </si>
  <si>
    <t>46,875 (93,750)</t>
  </si>
  <si>
    <t>241 (150)</t>
  </si>
  <si>
    <t>7,000 (5,220)</t>
  </si>
  <si>
    <t>3,374 (6,748)</t>
  </si>
  <si>
    <t>'Eurostar' ("AsiaStar")</t>
  </si>
  <si>
    <t>50,390 (100,780)</t>
  </si>
  <si>
    <t>265 (165)</t>
  </si>
  <si>
    <t>8,000 (5,966)</t>
  </si>
  <si>
    <t>3,514 (7,028)</t>
  </si>
  <si>
    <t>TSR_</t>
  </si>
  <si>
    <t>'X2001'</t>
  </si>
  <si>
    <t>60,937 (121,874)</t>
  </si>
  <si>
    <t>305 (190)</t>
  </si>
  <si>
    <t>9,000 (6,711)</t>
  </si>
  <si>
    <t>3,234 (6,468)</t>
  </si>
  <si>
    <t>'Millennium Z1'</t>
  </si>
  <si>
    <t>70,312 (140,624)</t>
  </si>
  <si>
    <t>336 (210)</t>
  </si>
  <si>
    <t>10,000 (7,457)</t>
  </si>
  <si>
    <t>25 pass</t>
  </si>
  <si>
    <t>Wizzowow Z99</t>
  </si>
  <si>
    <t>62,109 (124,626)</t>
  </si>
  <si>
    <t>321 (200)</t>
  </si>
  <si>
    <t>Lev1 'Leviathan'</t>
  </si>
  <si>
    <t>82,031 (164,062)</t>
  </si>
  <si>
    <t>402 (251)</t>
  </si>
  <si>
    <t>3,515 (7,030)</t>
  </si>
  <si>
    <t>Lev2 'Cyclops'</t>
  </si>
  <si>
    <t>86,718 (173,436)</t>
  </si>
  <si>
    <t>450 (281)</t>
  </si>
  <si>
    <t>12,000 (8,948)</t>
  </si>
  <si>
    <t>3,557 (7,114)</t>
  </si>
  <si>
    <t>Lev3 'Pegasus'</t>
  </si>
  <si>
    <t>96,093 (192,186)</t>
  </si>
  <si>
    <t>480 (300)</t>
  </si>
  <si>
    <t>15,000 (11,185)</t>
  </si>
  <si>
    <t>3,571 (7,142)</t>
  </si>
  <si>
    <t>Lev4 'Chimaera'</t>
  </si>
  <si>
    <t>111,328 (222,656)</t>
  </si>
  <si>
    <t>643 (402)</t>
  </si>
  <si>
    <t>20,000 (14,914)</t>
  </si>
  <si>
    <t>3,584 (7,168)</t>
  </si>
  <si>
    <t>Wizzowow Rocketeer</t>
  </si>
  <si>
    <t>82,031 (164,600)</t>
  </si>
  <si>
    <t>482 (300)</t>
  </si>
  <si>
    <t>TE</t>
  </si>
  <si>
    <t>Running Cost</t>
  </si>
  <si>
    <t>mph</t>
  </si>
  <si>
    <t>a</t>
  </si>
  <si>
    <t>i</t>
  </si>
  <si>
    <t>Steam</t>
  </si>
  <si>
    <t>Diesel</t>
  </si>
  <si>
    <t>Electric</t>
  </si>
  <si>
    <t>Mono</t>
  </si>
  <si>
    <t>Maglev</t>
  </si>
  <si>
    <t>Targets</t>
  </si>
  <si>
    <t>Code</t>
  </si>
  <si>
    <t>Name</t>
  </si>
  <si>
    <t>Intro Year</t>
  </si>
  <si>
    <t>Compressed Intro Year</t>
  </si>
  <si>
    <t>Top Speed (mph)</t>
  </si>
  <si>
    <t>S1</t>
  </si>
  <si>
    <t>S2</t>
  </si>
  <si>
    <t>S3</t>
  </si>
  <si>
    <t>S4</t>
  </si>
  <si>
    <t>S5</t>
  </si>
  <si>
    <t>S6</t>
  </si>
  <si>
    <t>S7</t>
  </si>
  <si>
    <t>S8</t>
  </si>
  <si>
    <t>S9</t>
  </si>
  <si>
    <t>S10</t>
  </si>
  <si>
    <t>S11</t>
  </si>
  <si>
    <t>S12</t>
  </si>
  <si>
    <t>S13</t>
  </si>
  <si>
    <t>S14</t>
  </si>
  <si>
    <t>Type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</si>
  <si>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</si>
  <si>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</si>
  <si>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</si>
  <si>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</si>
  <si>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</si>
  <si>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</si>
  <si>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</si>
  <si>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</si>
  <si>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</si>
  <si>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E1</t>
  </si>
  <si>
    <t>E2</t>
  </si>
  <si>
    <t>E3</t>
  </si>
  <si>
    <t>E4</t>
  </si>
  <si>
    <t>E5</t>
  </si>
  <si>
    <t>E6</t>
  </si>
  <si>
    <t>E7</t>
  </si>
  <si>
    <t>E8</t>
  </si>
  <si>
    <t>E9</t>
  </si>
  <si>
    <t>E10</t>
  </si>
  <si>
    <t>E11</t>
  </si>
  <si>
    <t>E12</t>
  </si>
  <si>
    <t>E13</t>
  </si>
  <si>
    <t>Nominal Intro Year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</si>
  <si>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</si>
  <si>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</si>
  <si>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</si>
  <si>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</si>
  <si>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</si>
  <si>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</si>
  <si>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</si>
  <si>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</si>
  <si>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</si>
  <si>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</si>
  <si>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Monorail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</si>
  <si>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</si>
  <si>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</si>
  <si>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</si>
  <si>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</si>
  <si>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</si>
  <si>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</si>
  <si>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</si>
  <si>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</si>
  <si>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</si>
  <si>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</si>
  <si>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</si>
  <si>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Aurora</t>
  </si>
  <si>
    <t>Millennial</t>
  </si>
  <si>
    <t>Millennial MkII</t>
  </si>
  <si>
    <t>Galaxy</t>
  </si>
  <si>
    <t>Orion</t>
  </si>
  <si>
    <t>Orion MkII</t>
  </si>
  <si>
    <t>Manufacturer</t>
  </si>
  <si>
    <t>McInis</t>
  </si>
  <si>
    <t>Dragonfly</t>
  </si>
  <si>
    <t>Andromeda</t>
  </si>
  <si>
    <t>Compressed Intro</t>
  </si>
  <si>
    <t>Constallation</t>
  </si>
  <si>
    <t>ELY</t>
  </si>
  <si>
    <t>D50</t>
  </si>
  <si>
    <t>D70</t>
  </si>
  <si>
    <t>Imagine</t>
  </si>
  <si>
    <t>X601</t>
  </si>
  <si>
    <t>4-4-0</t>
  </si>
  <si>
    <t>MotorWorks</t>
  </si>
  <si>
    <t>ElectroMover</t>
  </si>
  <si>
    <t>Eagle</t>
  </si>
  <si>
    <t>New Eagle</t>
  </si>
  <si>
    <t>E120</t>
  </si>
  <si>
    <t>Wasp</t>
  </si>
  <si>
    <t>Wasp MkII</t>
  </si>
  <si>
    <t>Wasp MkIII</t>
  </si>
  <si>
    <t>Weight between 45t and 150t, with improving power:weight ratio through the series</t>
  </si>
  <si>
    <t>Notes</t>
  </si>
  <si>
    <t>75% of locomotives were 4-4-0's in the 1870's</t>
  </si>
  <si>
    <t>Hercules</t>
  </si>
  <si>
    <t>4-6-0</t>
  </si>
  <si>
    <t>Called a 'Ten Wheeler'</t>
  </si>
  <si>
    <t>2-8-0</t>
  </si>
  <si>
    <t>Steam Locomotives HP</t>
  </si>
  <si>
    <t>http://www.railroad.net/forums/viewtopic.php?f=13&amp;t=78441</t>
  </si>
  <si>
    <t>HP from 300 to 20,000, significant jumps at series breaks</t>
  </si>
  <si>
    <t>FLO</t>
  </si>
  <si>
    <t>Jupiter</t>
  </si>
  <si>
    <t>Evolution</t>
  </si>
  <si>
    <t>Voyager</t>
  </si>
  <si>
    <t>Explorer</t>
  </si>
  <si>
    <t>Luminance</t>
  </si>
  <si>
    <t>East Wind</t>
  </si>
  <si>
    <t>Easterner</t>
  </si>
  <si>
    <t>Northerner</t>
  </si>
  <si>
    <t>Elycian</t>
  </si>
  <si>
    <t>Ecuador</t>
  </si>
  <si>
    <t>Flux</t>
  </si>
  <si>
    <t>Egyptian</t>
  </si>
  <si>
    <t>Edward</t>
  </si>
  <si>
    <t>Edwin</t>
  </si>
  <si>
    <t>Effiel</t>
  </si>
  <si>
    <t>Elaborate</t>
  </si>
  <si>
    <t>Element</t>
  </si>
  <si>
    <t>Amber</t>
  </si>
  <si>
    <t>Sky</t>
  </si>
  <si>
    <t>Emerald</t>
  </si>
  <si>
    <t>Empire</t>
  </si>
  <si>
    <t>Apex</t>
  </si>
  <si>
    <t>Ten Wheeler</t>
  </si>
  <si>
    <t>Stevenson's Rocket??</t>
  </si>
  <si>
    <t>GFX</t>
  </si>
  <si>
    <t>OpenGFX+ A4</t>
  </si>
  <si>
    <t>OpenGFX+ Ploddyphut Choo-Choo</t>
  </si>
  <si>
    <t>Jubilee was a 4-6-0</t>
  </si>
  <si>
    <t>8P was a 4-6-2 (Pacific)</t>
  </si>
  <si>
    <t>A4 was a 4-6-2</t>
  </si>
  <si>
    <t>OpenGFX+ Wills 2-8-0</t>
  </si>
  <si>
    <t>OpenGFX+ SH '8P'</t>
  </si>
  <si>
    <t>4-6-2</t>
  </si>
  <si>
    <t>OpenGFX+ Turner Turbo</t>
  </si>
  <si>
    <t>OpenGFX+ Centennial</t>
  </si>
  <si>
    <t>OpenGFX+ CS4000</t>
  </si>
  <si>
    <t>OpenGFX+ SH '30'</t>
  </si>
  <si>
    <t>OpenGFX+ SH '125'</t>
  </si>
  <si>
    <t>OpenGFX+ 'T.I.M.'</t>
  </si>
  <si>
    <t>OpenGFX+ 'AsiaStar'</t>
  </si>
  <si>
    <t>OpenGFX+ 'Millennium Z1'</t>
  </si>
  <si>
    <t>OpenGFX+ Lev4 'Chimaera'</t>
  </si>
  <si>
    <t>Added</t>
  </si>
  <si>
    <t>Max</t>
  </si>
  <si>
    <t>M - Rail Multihead</t>
  </si>
  <si>
    <t>G - Rail Singlehead</t>
  </si>
  <si>
    <t>G</t>
  </si>
  <si>
    <t>M</t>
  </si>
  <si>
    <t>Cost Factor</t>
  </si>
  <si>
    <t>Running Cost Factor</t>
  </si>
  <si>
    <t>Running Cost Class</t>
  </si>
  <si>
    <t>S</t>
  </si>
  <si>
    <t>D</t>
  </si>
  <si>
    <t>E</t>
  </si>
  <si>
    <t>O</t>
  </si>
  <si>
    <t>L</t>
  </si>
  <si>
    <t>Max Speed</t>
  </si>
  <si>
    <t>S - Steam</t>
  </si>
  <si>
    <t>D - Diesel</t>
  </si>
  <si>
    <t>E - Electric</t>
  </si>
  <si>
    <t>O - Monorail</t>
  </si>
  <si>
    <t>L - Maglev</t>
  </si>
  <si>
    <t>Life Span</t>
  </si>
  <si>
    <t>Cost/Cost Factor</t>
  </si>
  <si>
    <t>Temperate</t>
  </si>
  <si>
    <t>Artic</t>
  </si>
  <si>
    <t>Tropical</t>
  </si>
  <si>
    <t>Toyland</t>
  </si>
  <si>
    <t xml:space="preserve"> </t>
  </si>
  <si>
    <t>C = 190.2V</t>
  </si>
  <si>
    <t>M1 Delta</t>
  </si>
  <si>
    <t>M2 Delta</t>
  </si>
  <si>
    <t>C = 294.5*V - 1.353e4 - 0.1524*V^2 - 3.544*P*RCd</t>
  </si>
  <si>
    <t>M3 Delta</t>
  </si>
  <si>
    <t>RC = 94.66*LS + 12.42*V - 1366 - 0.01212*V^2</t>
  </si>
  <si>
    <t>Power / Weight</t>
  </si>
  <si>
    <t>M4 Delta</t>
  </si>
  <si>
    <t>P = 20.51*M + 19.52*V - 2733*Diesel - 3873*Steam</t>
  </si>
  <si>
    <t>M5 Delta</t>
  </si>
  <si>
    <t>P = 26.2291757283225*M + 20.2708197432594*V - 902.910154350431 - V*Diesel*LS - 28.6773595547993*M*Steam</t>
  </si>
  <si>
    <t>M5 Prime</t>
  </si>
  <si>
    <t>Life</t>
  </si>
  <si>
    <t>Nominal Power</t>
  </si>
  <si>
    <t>Nominal Cost Factor</t>
  </si>
  <si>
    <t>Nominal Running Cost</t>
  </si>
  <si>
    <t>Running Cost/Running Cost Factor</t>
  </si>
  <si>
    <t>Power/Weight</t>
  </si>
  <si>
    <t>Nominal Power to Weight</t>
  </si>
  <si>
    <t>Amy Jane</t>
  </si>
  <si>
    <t>Axels</t>
  </si>
  <si>
    <t>Weight per Axel</t>
  </si>
  <si>
    <t>Weight Class</t>
  </si>
  <si>
    <t>2-6-4 Mallard</t>
  </si>
  <si>
    <t>T.E. / Weight</t>
  </si>
  <si>
    <t>Tractive Effect coeffiecient</t>
  </si>
  <si>
    <t>0.25 represents steel on steel friction</t>
  </si>
  <si>
    <t>can be rated as much at 0.46 for advanced diesels</t>
  </si>
  <si>
    <t>0.30 is probably more typical for diesels</t>
  </si>
  <si>
    <t>suggested formula:  0.20 * (power axels / total axels)    with 0.20 rising to 0.30 for modern diesels</t>
  </si>
  <si>
    <t>http://www.alkrug.vcn.com/rrfacts/hp_te.htm</t>
  </si>
  <si>
    <t>Requied HP = speed x TE</t>
  </si>
  <si>
    <t>1hp = 550 lb*ft/s; 1mph = 1.47 ft/s; te in lbs</t>
  </si>
  <si>
    <t>weight (t)</t>
  </si>
  <si>
    <t>power (hp)</t>
  </si>
  <si>
    <t>TE coeff.</t>
  </si>
  <si>
    <t>Max speed (mph)</t>
  </si>
  <si>
    <t>TE (lb)</t>
  </si>
  <si>
    <t>speed (ft/s)</t>
  </si>
  <si>
    <t>Papyrus</t>
  </si>
  <si>
    <t>Quicksilver</t>
  </si>
  <si>
    <t>Kingfisher</t>
  </si>
  <si>
    <t>Big Boy could hit 80mph, ~7600hp, 0.24 TE coefficient, 345t</t>
  </si>
  <si>
    <t>A4 hit 125mph, 1800hp, .15 TE coefficient, 105t</t>
  </si>
  <si>
    <t>Powered Axels</t>
  </si>
  <si>
    <t>Base TE</t>
  </si>
  <si>
    <t>TE (rated) Coeff.</t>
  </si>
  <si>
    <t>Air Drag Coefficient</t>
  </si>
  <si>
    <t>r7</t>
  </si>
  <si>
    <t>When weight is put in, it's for each part of an MU. Should the weight then be split between them??</t>
  </si>
  <si>
    <t>Tractive Effect is not considered for Maglev's</t>
  </si>
  <si>
    <t>0-2-2</t>
  </si>
  <si>
    <t>BROS Rocket</t>
  </si>
  <si>
    <t>r11</t>
  </si>
  <si>
    <t>BROS Class 170</t>
  </si>
  <si>
    <t>r13</t>
  </si>
  <si>
    <t>r14</t>
  </si>
  <si>
    <t>DACH OBB 1142</t>
  </si>
  <si>
    <t>DACH BLS 535</t>
  </si>
  <si>
    <t>r12</t>
  </si>
  <si>
    <t>r15</t>
  </si>
  <si>
    <t>BROS Class 91</t>
  </si>
  <si>
    <t>BROS Class 35</t>
  </si>
  <si>
    <t>r17</t>
  </si>
  <si>
    <t>z 2cc Le Belge</t>
  </si>
  <si>
    <t>z 2cc Hudson</t>
  </si>
  <si>
    <t>2cc American</t>
  </si>
  <si>
    <t>r20</t>
  </si>
  <si>
    <t>2cc IC4</t>
  </si>
  <si>
    <t>r21</t>
  </si>
  <si>
    <t>2cc RZD_RA2</t>
  </si>
  <si>
    <t>r19</t>
  </si>
  <si>
    <t>2cc Transwa_Prospector</t>
  </si>
  <si>
    <t>r23</t>
  </si>
  <si>
    <t>r26</t>
  </si>
  <si>
    <t>Hunter</t>
  </si>
  <si>
    <t>r27</t>
  </si>
  <si>
    <t>2cc ICE 3</t>
  </si>
  <si>
    <t>Notes from Nov 2013</t>
  </si>
  <si>
    <t>I found that as I played, the faster engines (300 mph+? Maybe post-2020) increasingly did</t>
  </si>
  <si>
    <t>not have enough power to hit top speed. So I propose two changes:</t>
  </si>
  <si>
    <t>- only one stream. I only use one train at a time anyway. So a sharp break between eras.</t>
  </si>
  <si>
    <t>The last train of the era will remain available forever, if for some reason its</t>
  </si>
  <si>
    <t>needed</t>
  </si>
  <si>
    <t>- power that increases exponentially, starting mig-monorail era</t>
  </si>
  <si>
    <t>Ordinal</t>
  </si>
  <si>
    <t>Compressed</t>
  </si>
  <si>
    <t>Treadline</t>
  </si>
  <si>
    <t>delta2</t>
  </si>
  <si>
    <t>base</t>
  </si>
  <si>
    <t>exp</t>
  </si>
  <si>
    <t>speed = EXP(0.03157*year - 58.01)</t>
  </si>
  <si>
    <t>Serial Intro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</si>
</sst>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00"/>
    <numFmt numFmtId="166" formatCode="0.00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.9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DEAD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theme="4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9" fontId="4" fillId="0" borderId="0" applyFont="0" applyFill="0" applyBorder="0" applyAlignment="0" applyProtection="0"/>
    <xf numFmtId="0" fontId="5" fillId="0" borderId="1" applyNumberFormat="0" applyFill="0" applyAlignment="0" applyProtection="0"/>
  </cellStyleXfs>
  <cellXfs count="29">
    <xf numFmtId="0" fontId="0" fillId="0" borderId="0" xfId="0"/>
    <xf numFmtId="0" fontId="1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2" borderId="0" xfId="1" applyFill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0" fillId="3" borderId="0" xfId="0" applyFill="1" applyAlignment="1">
      <alignment horizontal="left" vertical="center" wrapText="1"/>
    </xf>
    <xf numFmtId="0" fontId="0" fillId="4" borderId="0" xfId="0" applyFill="1" applyAlignment="1">
      <alignment horizontal="center" vertical="center" wrapText="1"/>
    </xf>
    <xf numFmtId="0" fontId="0" fillId="5" borderId="0" xfId="0" applyFill="1" applyAlignment="1">
      <alignment horizontal="center" vertical="center" wrapText="1"/>
    </xf>
    <xf numFmtId="0" fontId="0" fillId="6" borderId="0" xfId="0" applyFill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0" fillId="4" borderId="0" xfId="0" applyFill="1" applyAlignment="1">
      <alignment horizontal="center" vertical="center"/>
    </xf>
    <xf numFmtId="0" fontId="0" fillId="5" borderId="0" xfId="0" applyFill="1" applyAlignment="1">
      <alignment horizontal="center" vertical="center"/>
    </xf>
    <xf numFmtId="164" fontId="0" fillId="0" borderId="0" xfId="0" applyNumberFormat="1"/>
    <xf numFmtId="10" fontId="0" fillId="0" borderId="0" xfId="0" applyNumberFormat="1"/>
    <xf numFmtId="9" fontId="0" fillId="0" borderId="0" xfId="0" applyNumberFormat="1"/>
    <xf numFmtId="10" fontId="0" fillId="0" borderId="0" xfId="2" applyNumberFormat="1" applyFont="1"/>
    <xf numFmtId="0" fontId="5" fillId="0" borderId="1" xfId="3"/>
    <xf numFmtId="0" fontId="0" fillId="0" borderId="0" xfId="0" applyAlignment="1">
      <alignment wrapText="1"/>
    </xf>
    <xf numFmtId="0" fontId="0" fillId="0" borderId="0" xfId="0" applyAlignment="1">
      <alignment horizontal="right" wrapText="1"/>
    </xf>
    <xf numFmtId="14" fontId="0" fillId="0" borderId="0" xfId="0" quotePrefix="1" applyNumberFormat="1"/>
    <xf numFmtId="0" fontId="0" fillId="0" borderId="0" xfId="0" quotePrefix="1"/>
    <xf numFmtId="1" fontId="0" fillId="0" borderId="0" xfId="0" applyNumberFormat="1"/>
    <xf numFmtId="9" fontId="0" fillId="0" borderId="0" xfId="2" applyFont="1"/>
    <xf numFmtId="0" fontId="3" fillId="0" borderId="0" xfId="1"/>
    <xf numFmtId="2" fontId="0" fillId="0" borderId="0" xfId="0" applyNumberFormat="1"/>
    <xf numFmtId="165" fontId="0" fillId="0" borderId="0" xfId="0" applyNumberFormat="1"/>
    <xf numFmtId="166" fontId="0" fillId="0" borderId="0" xfId="0" applyNumberFormat="1"/>
    <xf numFmtId="11" fontId="0" fillId="0" borderId="0" xfId="0" applyNumberFormat="1"/>
    <xf numFmtId="164" fontId="0" fillId="7" borderId="0" xfId="0" applyNumberFormat="1" applyFill="1"/>
  </cellXfs>
  <cellStyles count="4">
    <cellStyle name="Heading 1" xfId="3" builtinId="16"/>
    <cellStyle name="Hyperlink" xfId="1" builtinId="8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CA"/>
              <a:t>Speed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xVal>
            <c:numRef>
              <c:f>'Existing Graphed'!$W$4:$W$7</c:f>
              <c:numCache>
                <c:formatCode>General</c:formatCode>
                <c:ptCount val="4"/>
                <c:pt idx="0">
                  <c:v>1925</c:v>
                </c:pt>
                <c:pt idx="1">
                  <c:v>1934</c:v>
                </c:pt>
                <c:pt idx="2">
                  <c:v>1935</c:v>
                </c:pt>
                <c:pt idx="3">
                  <c:v>1954</c:v>
                </c:pt>
              </c:numCache>
            </c:numRef>
          </c:xVal>
          <c:yVal>
            <c:numRef>
              <c:f>'Existing Graphed'!$P$4:$P$7</c:f>
              <c:numCache>
                <c:formatCode>General</c:formatCode>
                <c:ptCount val="4"/>
                <c:pt idx="0">
                  <c:v>64</c:v>
                </c:pt>
                <c:pt idx="1">
                  <c:v>112</c:v>
                </c:pt>
                <c:pt idx="2">
                  <c:v>128</c:v>
                </c:pt>
                <c:pt idx="3">
                  <c:v>144</c:v>
                </c:pt>
              </c:numCache>
            </c:numRef>
          </c:yVal>
          <c:smooth val="0"/>
        </c:ser>
        <c:ser>
          <c:idx val="1"/>
          <c:order val="1"/>
          <c:xVal>
            <c:numRef>
              <c:f>'Existing Graphed'!$W$13:$W$18</c:f>
              <c:numCache>
                <c:formatCode>General</c:formatCode>
                <c:ptCount val="6"/>
                <c:pt idx="0">
                  <c:v>1957</c:v>
                </c:pt>
                <c:pt idx="1">
                  <c:v>1984</c:v>
                </c:pt>
                <c:pt idx="2">
                  <c:v>1962</c:v>
                </c:pt>
                <c:pt idx="3">
                  <c:v>1959</c:v>
                </c:pt>
                <c:pt idx="4">
                  <c:v>1963</c:v>
                </c:pt>
                <c:pt idx="5">
                  <c:v>1978</c:v>
                </c:pt>
              </c:numCache>
            </c:numRef>
          </c:xVal>
          <c:yVal>
            <c:numRef>
              <c:f>'Existing Graphed'!$P$13:$P$18</c:f>
              <c:numCache>
                <c:formatCode>General</c:formatCode>
                <c:ptCount val="6"/>
                <c:pt idx="0">
                  <c:v>112</c:v>
                </c:pt>
                <c:pt idx="1">
                  <c:v>120</c:v>
                </c:pt>
                <c:pt idx="2">
                  <c:v>128</c:v>
                </c:pt>
                <c:pt idx="3">
                  <c:v>144</c:v>
                </c:pt>
                <c:pt idx="4">
                  <c:v>160</c:v>
                </c:pt>
                <c:pt idx="5">
                  <c:v>201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'Existing Graphed'!$W$29:$W$32</c:f>
              <c:strCache>
                <c:ptCount val="1"/>
                <c:pt idx="0">
                  <c:v>1965 1973 1984 1992</c:v>
                </c:pt>
              </c:strCache>
            </c:strRef>
          </c:tx>
          <c:xVal>
            <c:numRef>
              <c:f>'Existing Graphed'!$W$29:$W$32</c:f>
              <c:numCache>
                <c:formatCode>General</c:formatCode>
                <c:ptCount val="4"/>
                <c:pt idx="0">
                  <c:v>1965</c:v>
                </c:pt>
                <c:pt idx="1">
                  <c:v>1973</c:v>
                </c:pt>
                <c:pt idx="2">
                  <c:v>1984</c:v>
                </c:pt>
                <c:pt idx="3">
                  <c:v>1992</c:v>
                </c:pt>
              </c:numCache>
            </c:numRef>
          </c:xVal>
          <c:yVal>
            <c:numRef>
              <c:f>'Existing Graphed'!$P$29:$P$32</c:f>
              <c:numCache>
                <c:formatCode>General</c:formatCode>
                <c:ptCount val="4"/>
                <c:pt idx="0">
                  <c:v>160</c:v>
                </c:pt>
                <c:pt idx="1">
                  <c:v>177</c:v>
                </c:pt>
                <c:pt idx="2">
                  <c:v>241</c:v>
                </c:pt>
                <c:pt idx="3">
                  <c:v>265</c:v>
                </c:pt>
              </c:numCache>
            </c:numRef>
          </c:yVal>
          <c:smooth val="0"/>
        </c:ser>
        <c:ser>
          <c:idx val="3"/>
          <c:order val="3"/>
          <c:xVal>
            <c:numRef>
              <c:f>'Existing Graphed'!$W$34:$W$35</c:f>
              <c:numCache>
                <c:formatCode>General</c:formatCode>
                <c:ptCount val="2"/>
                <c:pt idx="0">
                  <c:v>1999</c:v>
                </c:pt>
                <c:pt idx="1">
                  <c:v>2005</c:v>
                </c:pt>
              </c:numCache>
            </c:numRef>
          </c:xVal>
          <c:yVal>
            <c:numRef>
              <c:f>'Existing Graphed'!$P$34:$P$35</c:f>
              <c:numCache>
                <c:formatCode>General</c:formatCode>
                <c:ptCount val="2"/>
                <c:pt idx="0">
                  <c:v>305</c:v>
                </c:pt>
                <c:pt idx="1">
                  <c:v>336</c:v>
                </c:pt>
              </c:numCache>
            </c:numRef>
          </c:yVal>
          <c:smooth val="0"/>
        </c:ser>
        <c:ser>
          <c:idx val="4"/>
          <c:order val="4"/>
          <c:xVal>
            <c:numRef>
              <c:f>'Existing Graphed'!$W$38:$W$41</c:f>
              <c:numCache>
                <c:formatCode>General</c:formatCode>
                <c:ptCount val="4"/>
                <c:pt idx="0">
                  <c:v>2020</c:v>
                </c:pt>
                <c:pt idx="1">
                  <c:v>2028</c:v>
                </c:pt>
                <c:pt idx="2">
                  <c:v>2035</c:v>
                </c:pt>
                <c:pt idx="3">
                  <c:v>2038</c:v>
                </c:pt>
              </c:numCache>
            </c:numRef>
          </c:xVal>
          <c:yVal>
            <c:numRef>
              <c:f>'Existing Graphed'!$P$38:$P$41</c:f>
              <c:numCache>
                <c:formatCode>General</c:formatCode>
                <c:ptCount val="4"/>
                <c:pt idx="0">
                  <c:v>402</c:v>
                </c:pt>
                <c:pt idx="1">
                  <c:v>450</c:v>
                </c:pt>
                <c:pt idx="2">
                  <c:v>480</c:v>
                </c:pt>
                <c:pt idx="3">
                  <c:v>643</c:v>
                </c:pt>
              </c:numCache>
            </c:numRef>
          </c:yVal>
          <c:smooth val="0"/>
        </c:ser>
        <c:ser>
          <c:idx val="5"/>
          <c:order val="5"/>
          <c:tx>
            <c:strRef>
              <c:f>'Existing Graphed'!$W$8:$W$11</c:f>
              <c:strCache>
                <c:ptCount val="1"/>
                <c:pt idx="0">
                  <c:v>1945 1946 1952 1967</c:v>
                </c:pt>
              </c:strCache>
            </c:strRef>
          </c:tx>
          <c:spPr>
            <a:ln>
              <a:noFill/>
            </a:ln>
          </c:spPr>
          <c:marker>
            <c:spPr>
              <a:solidFill>
                <a:schemeClr val="accent1"/>
              </a:solidFill>
            </c:spPr>
          </c:marker>
          <c:xVal>
            <c:numRef>
              <c:f>'Existing Graphed'!$W$8:$W$11</c:f>
              <c:numCache>
                <c:formatCode>General</c:formatCode>
                <c:ptCount val="4"/>
                <c:pt idx="0">
                  <c:v>1945</c:v>
                </c:pt>
                <c:pt idx="1">
                  <c:v>1946</c:v>
                </c:pt>
                <c:pt idx="2">
                  <c:v>1952</c:v>
                </c:pt>
                <c:pt idx="3">
                  <c:v>1967</c:v>
                </c:pt>
              </c:numCache>
            </c:numRef>
          </c:xVal>
          <c:yVal>
            <c:numRef>
              <c:f>'Existing Graphed'!$P$8:$P$11</c:f>
              <c:numCache>
                <c:formatCode>General</c:formatCode>
                <c:ptCount val="4"/>
                <c:pt idx="0">
                  <c:v>88</c:v>
                </c:pt>
                <c:pt idx="1">
                  <c:v>72</c:v>
                </c:pt>
                <c:pt idx="2">
                  <c:v>96</c:v>
                </c:pt>
                <c:pt idx="3">
                  <c:v>112</c:v>
                </c:pt>
              </c:numCache>
            </c:numRef>
          </c:yVal>
          <c:smooth val="0"/>
        </c:ser>
        <c:ser>
          <c:idx val="6"/>
          <c:order val="6"/>
          <c:spPr>
            <a:ln>
              <a:noFill/>
            </a:ln>
          </c:spPr>
          <c:marker>
            <c:symbol val="square"/>
            <c:size val="7"/>
            <c:spPr>
              <a:solidFill>
                <a:schemeClr val="accent2"/>
              </a:solidFill>
            </c:spPr>
          </c:marker>
          <c:xVal>
            <c:numRef>
              <c:f>'Existing Graphed'!$W$19:$W$27</c:f>
              <c:numCache>
                <c:formatCode>General</c:formatCode>
                <c:ptCount val="9"/>
                <c:pt idx="0">
                  <c:v>1955</c:v>
                </c:pt>
                <c:pt idx="1">
                  <c:v>1958</c:v>
                </c:pt>
                <c:pt idx="2">
                  <c:v>1972</c:v>
                </c:pt>
                <c:pt idx="3">
                  <c:v>1962</c:v>
                </c:pt>
                <c:pt idx="4">
                  <c:v>1965</c:v>
                </c:pt>
                <c:pt idx="5">
                  <c:v>1965</c:v>
                </c:pt>
                <c:pt idx="6">
                  <c:v>1977</c:v>
                </c:pt>
                <c:pt idx="7">
                  <c:v>1972</c:v>
                </c:pt>
                <c:pt idx="8">
                  <c:v>1978</c:v>
                </c:pt>
              </c:numCache>
            </c:numRef>
          </c:xVal>
          <c:yVal>
            <c:numRef>
              <c:f>'Existing Graphed'!$P$19:$P$27</c:f>
              <c:numCache>
                <c:formatCode>General</c:formatCode>
                <c:ptCount val="9"/>
                <c:pt idx="0">
                  <c:v>80</c:v>
                </c:pt>
                <c:pt idx="1">
                  <c:v>104</c:v>
                </c:pt>
                <c:pt idx="2">
                  <c:v>112</c:v>
                </c:pt>
                <c:pt idx="3">
                  <c:v>96</c:v>
                </c:pt>
                <c:pt idx="4">
                  <c:v>112</c:v>
                </c:pt>
                <c:pt idx="5">
                  <c:v>104</c:v>
                </c:pt>
                <c:pt idx="6">
                  <c:v>160</c:v>
                </c:pt>
                <c:pt idx="7">
                  <c:v>120</c:v>
                </c:pt>
                <c:pt idx="8">
                  <c:v>152</c:v>
                </c:pt>
              </c:numCache>
            </c:numRef>
          </c:yVal>
          <c:smooth val="0"/>
        </c:ser>
        <c:ser>
          <c:idx val="7"/>
          <c:order val="7"/>
          <c:marker>
            <c:symbol val="square"/>
            <c:size val="7"/>
            <c:spPr>
              <a:solidFill>
                <a:schemeClr val="accent4"/>
              </a:solidFill>
            </c:spPr>
          </c:marker>
          <c:xVal>
            <c:numRef>
              <c:f>'Existing Graphed'!$W$36</c:f>
              <c:numCache>
                <c:formatCode>General</c:formatCode>
                <c:ptCount val="1"/>
                <c:pt idx="0">
                  <c:v>1999</c:v>
                </c:pt>
              </c:numCache>
            </c:numRef>
          </c:xVal>
          <c:yVal>
            <c:numRef>
              <c:f>'Existing Graphed'!$P$36</c:f>
              <c:numCache>
                <c:formatCode>General</c:formatCode>
                <c:ptCount val="1"/>
                <c:pt idx="0">
                  <c:v>321</c:v>
                </c:pt>
              </c:numCache>
            </c:numRef>
          </c:yVal>
          <c:smooth val="0"/>
        </c:ser>
        <c:ser>
          <c:idx val="8"/>
          <c:order val="8"/>
          <c:marker>
            <c:symbol val="square"/>
            <c:size val="7"/>
            <c:spPr>
              <a:solidFill>
                <a:schemeClr val="accent5"/>
              </a:solidFill>
            </c:spPr>
          </c:marker>
          <c:xVal>
            <c:numRef>
              <c:f>'Existing Graphed'!$W$42</c:f>
              <c:numCache>
                <c:formatCode>General</c:formatCode>
                <c:ptCount val="1"/>
                <c:pt idx="0">
                  <c:v>2021</c:v>
                </c:pt>
              </c:numCache>
            </c:numRef>
          </c:xVal>
          <c:yVal>
            <c:numRef>
              <c:f>'Existing Graphed'!$P$42</c:f>
              <c:numCache>
                <c:formatCode>General</c:formatCode>
                <c:ptCount val="1"/>
                <c:pt idx="0">
                  <c:v>482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3075840"/>
        <c:axId val="173410176"/>
      </c:scatterChart>
      <c:valAx>
        <c:axId val="173075840"/>
        <c:scaling>
          <c:orientation val="minMax"/>
        </c:scaling>
        <c:delete val="0"/>
        <c:axPos val="b"/>
        <c:title>
          <c:layout/>
          <c:overlay val="0"/>
        </c:title>
        <c:numFmt formatCode="General" sourceLinked="1"/>
        <c:majorTickMark val="none"/>
        <c:minorTickMark val="none"/>
        <c:tickLblPos val="nextTo"/>
        <c:crossAx val="173410176"/>
        <c:crosses val="autoZero"/>
        <c:crossBetween val="midCat"/>
      </c:valAx>
      <c:valAx>
        <c:axId val="173410176"/>
        <c:scaling>
          <c:orientation val="minMax"/>
        </c:scaling>
        <c:delete val="0"/>
        <c:axPos val="l"/>
        <c:majorGridlines/>
        <c:title>
          <c:layout/>
          <c:overlay val="0"/>
        </c:title>
        <c:numFmt formatCode="General" sourceLinked="1"/>
        <c:majorTickMark val="none"/>
        <c:minorTickMark val="none"/>
        <c:tickLblPos val="nextTo"/>
        <c:crossAx val="173075840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'Proposed Streams'!$Q$4</c:f>
              <c:strCache>
                <c:ptCount val="1"/>
                <c:pt idx="0">
                  <c:v>Steam</c:v>
                </c:pt>
              </c:strCache>
            </c:strRef>
          </c:tx>
          <c:xVal>
            <c:numRef>
              <c:f>'Proposed Streams'!$P$5:$P$38</c:f>
              <c:numCache>
                <c:formatCode>General</c:formatCode>
                <c:ptCount val="34"/>
                <c:pt idx="0">
                  <c:v>1830</c:v>
                </c:pt>
                <c:pt idx="1">
                  <c:v>1840</c:v>
                </c:pt>
                <c:pt idx="2">
                  <c:v>1850</c:v>
                </c:pt>
                <c:pt idx="3">
                  <c:v>1860</c:v>
                </c:pt>
                <c:pt idx="4">
                  <c:v>1870</c:v>
                </c:pt>
                <c:pt idx="5">
                  <c:v>1880</c:v>
                </c:pt>
                <c:pt idx="6">
                  <c:v>1890</c:v>
                </c:pt>
                <c:pt idx="7">
                  <c:v>1900</c:v>
                </c:pt>
                <c:pt idx="8">
                  <c:v>1910</c:v>
                </c:pt>
                <c:pt idx="9">
                  <c:v>1920</c:v>
                </c:pt>
                <c:pt idx="10">
                  <c:v>1930</c:v>
                </c:pt>
                <c:pt idx="11">
                  <c:v>1940</c:v>
                </c:pt>
                <c:pt idx="12">
                  <c:v>1950</c:v>
                </c:pt>
                <c:pt idx="13">
                  <c:v>1960</c:v>
                </c:pt>
                <c:pt idx="14">
                  <c:v>1970</c:v>
                </c:pt>
                <c:pt idx="15">
                  <c:v>1980</c:v>
                </c:pt>
                <c:pt idx="16">
                  <c:v>1990</c:v>
                </c:pt>
                <c:pt idx="17">
                  <c:v>2000</c:v>
                </c:pt>
                <c:pt idx="18">
                  <c:v>2010</c:v>
                </c:pt>
                <c:pt idx="19">
                  <c:v>2020</c:v>
                </c:pt>
                <c:pt idx="20">
                  <c:v>2030</c:v>
                </c:pt>
                <c:pt idx="21">
                  <c:v>2040</c:v>
                </c:pt>
                <c:pt idx="22">
                  <c:v>2050</c:v>
                </c:pt>
                <c:pt idx="23">
                  <c:v>2060</c:v>
                </c:pt>
                <c:pt idx="24">
                  <c:v>2070</c:v>
                </c:pt>
                <c:pt idx="25">
                  <c:v>2080</c:v>
                </c:pt>
                <c:pt idx="26">
                  <c:v>2090</c:v>
                </c:pt>
                <c:pt idx="27">
                  <c:v>2100</c:v>
                </c:pt>
                <c:pt idx="28">
                  <c:v>2110</c:v>
                </c:pt>
                <c:pt idx="29">
                  <c:v>2120</c:v>
                </c:pt>
                <c:pt idx="30">
                  <c:v>2130</c:v>
                </c:pt>
                <c:pt idx="31">
                  <c:v>2140</c:v>
                </c:pt>
                <c:pt idx="32">
                  <c:v>2150</c:v>
                </c:pt>
                <c:pt idx="33">
                  <c:v>2160</c:v>
                </c:pt>
              </c:numCache>
            </c:numRef>
          </c:xVal>
          <c:yVal>
            <c:numRef>
              <c:f>'Proposed Streams'!$Q$5:$Q$38</c:f>
              <c:numCache>
                <c:formatCode>0.0</c:formatCode>
                <c:ptCount val="34"/>
                <c:pt idx="0" formatCode="General">
                  <c:v>29</c:v>
                </c:pt>
                <c:pt idx="1">
                  <c:v>34.324761407639841</c:v>
                </c:pt>
                <c:pt idx="2">
                  <c:v>40.627215368669013</c:v>
                </c:pt>
                <c:pt idx="3">
                  <c:v>48.086878420219392</c:v>
                </c:pt>
                <c:pt idx="4">
                  <c:v>56.916228572835017</c:v>
                </c:pt>
                <c:pt idx="5">
                  <c:v>62.870925376514954</c:v>
                </c:pt>
                <c:pt idx="6">
                  <c:v>69.448615215975195</c:v>
                </c:pt>
                <c:pt idx="7">
                  <c:v>76.714476946735459</c:v>
                </c:pt>
                <c:pt idx="8">
                  <c:v>89.030282367137104</c:v>
                </c:pt>
                <c:pt idx="9">
                  <c:v>103.32327735057923</c:v>
                </c:pt>
                <c:pt idx="10">
                  <c:v>112.44941456764104</c:v>
                </c:pt>
                <c:pt idx="11">
                  <c:v>114.14758695115692</c:v>
                </c:pt>
                <c:pt idx="12">
                  <c:v>115.87140454994781</c:v>
                </c:pt>
                <c:pt idx="13">
                  <c:v>117.6212546492345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'Proposed Streams'!$R$4</c:f>
              <c:strCache>
                <c:ptCount val="1"/>
                <c:pt idx="0">
                  <c:v>Diesel</c:v>
                </c:pt>
              </c:strCache>
            </c:strRef>
          </c:tx>
          <c:xVal>
            <c:numRef>
              <c:f>'Proposed Streams'!$P$5:$P$38</c:f>
              <c:numCache>
                <c:formatCode>General</c:formatCode>
                <c:ptCount val="34"/>
                <c:pt idx="0">
                  <c:v>1830</c:v>
                </c:pt>
                <c:pt idx="1">
                  <c:v>1840</c:v>
                </c:pt>
                <c:pt idx="2">
                  <c:v>1850</c:v>
                </c:pt>
                <c:pt idx="3">
                  <c:v>1860</c:v>
                </c:pt>
                <c:pt idx="4">
                  <c:v>1870</c:v>
                </c:pt>
                <c:pt idx="5">
                  <c:v>1880</c:v>
                </c:pt>
                <c:pt idx="6">
                  <c:v>1890</c:v>
                </c:pt>
                <c:pt idx="7">
                  <c:v>1900</c:v>
                </c:pt>
                <c:pt idx="8">
                  <c:v>1910</c:v>
                </c:pt>
                <c:pt idx="9">
                  <c:v>1920</c:v>
                </c:pt>
                <c:pt idx="10">
                  <c:v>1930</c:v>
                </c:pt>
                <c:pt idx="11">
                  <c:v>1940</c:v>
                </c:pt>
                <c:pt idx="12">
                  <c:v>1950</c:v>
                </c:pt>
                <c:pt idx="13">
                  <c:v>1960</c:v>
                </c:pt>
                <c:pt idx="14">
                  <c:v>1970</c:v>
                </c:pt>
                <c:pt idx="15">
                  <c:v>1980</c:v>
                </c:pt>
                <c:pt idx="16">
                  <c:v>1990</c:v>
                </c:pt>
                <c:pt idx="17">
                  <c:v>2000</c:v>
                </c:pt>
                <c:pt idx="18">
                  <c:v>2010</c:v>
                </c:pt>
                <c:pt idx="19">
                  <c:v>2020</c:v>
                </c:pt>
                <c:pt idx="20">
                  <c:v>2030</c:v>
                </c:pt>
                <c:pt idx="21">
                  <c:v>2040</c:v>
                </c:pt>
                <c:pt idx="22">
                  <c:v>2050</c:v>
                </c:pt>
                <c:pt idx="23">
                  <c:v>2060</c:v>
                </c:pt>
                <c:pt idx="24">
                  <c:v>2070</c:v>
                </c:pt>
                <c:pt idx="25">
                  <c:v>2080</c:v>
                </c:pt>
                <c:pt idx="26">
                  <c:v>2090</c:v>
                </c:pt>
                <c:pt idx="27">
                  <c:v>2100</c:v>
                </c:pt>
                <c:pt idx="28">
                  <c:v>2110</c:v>
                </c:pt>
                <c:pt idx="29">
                  <c:v>2120</c:v>
                </c:pt>
                <c:pt idx="30">
                  <c:v>2130</c:v>
                </c:pt>
                <c:pt idx="31">
                  <c:v>2140</c:v>
                </c:pt>
                <c:pt idx="32">
                  <c:v>2150</c:v>
                </c:pt>
                <c:pt idx="33">
                  <c:v>2160</c:v>
                </c:pt>
              </c:numCache>
            </c:numRef>
          </c:xVal>
          <c:yVal>
            <c:numRef>
              <c:f>'Proposed Streams'!$R$5:$R$38</c:f>
              <c:numCache>
                <c:formatCode>General</c:formatCode>
                <c:ptCount val="34"/>
                <c:pt idx="10">
                  <c:v>70</c:v>
                </c:pt>
                <c:pt idx="11" formatCode="0.0">
                  <c:v>89.60591809374499</c:v>
                </c:pt>
                <c:pt idx="12" formatCode="0.0">
                  <c:v>110.30472463832042</c:v>
                </c:pt>
                <c:pt idx="13" formatCode="0.0">
                  <c:v>126.75749989224552</c:v>
                </c:pt>
                <c:pt idx="14" formatCode="0.0">
                  <c:v>135.91530696306796</c:v>
                </c:pt>
                <c:pt idx="15" formatCode="0.0">
                  <c:v>143.57840339782467</c:v>
                </c:pt>
                <c:pt idx="16" formatCode="0.0">
                  <c:v>147.94437239824518</c:v>
                </c:pt>
                <c:pt idx="17" formatCode="0.0">
                  <c:v>150.93003235812733</c:v>
                </c:pt>
                <c:pt idx="18" formatCode="0.0">
                  <c:v>152.44614267650178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'Proposed Streams'!$S$4</c:f>
              <c:strCache>
                <c:ptCount val="1"/>
                <c:pt idx="0">
                  <c:v>Electric</c:v>
                </c:pt>
              </c:strCache>
            </c:strRef>
          </c:tx>
          <c:xVal>
            <c:numRef>
              <c:f>'Proposed Streams'!$P$5:$P$38</c:f>
              <c:numCache>
                <c:formatCode>General</c:formatCode>
                <c:ptCount val="34"/>
                <c:pt idx="0">
                  <c:v>1830</c:v>
                </c:pt>
                <c:pt idx="1">
                  <c:v>1840</c:v>
                </c:pt>
                <c:pt idx="2">
                  <c:v>1850</c:v>
                </c:pt>
                <c:pt idx="3">
                  <c:v>1860</c:v>
                </c:pt>
                <c:pt idx="4">
                  <c:v>1870</c:v>
                </c:pt>
                <c:pt idx="5">
                  <c:v>1880</c:v>
                </c:pt>
                <c:pt idx="6">
                  <c:v>1890</c:v>
                </c:pt>
                <c:pt idx="7">
                  <c:v>1900</c:v>
                </c:pt>
                <c:pt idx="8">
                  <c:v>1910</c:v>
                </c:pt>
                <c:pt idx="9">
                  <c:v>1920</c:v>
                </c:pt>
                <c:pt idx="10">
                  <c:v>1930</c:v>
                </c:pt>
                <c:pt idx="11">
                  <c:v>1940</c:v>
                </c:pt>
                <c:pt idx="12">
                  <c:v>1950</c:v>
                </c:pt>
                <c:pt idx="13">
                  <c:v>1960</c:v>
                </c:pt>
                <c:pt idx="14">
                  <c:v>1970</c:v>
                </c:pt>
                <c:pt idx="15">
                  <c:v>1980</c:v>
                </c:pt>
                <c:pt idx="16">
                  <c:v>1990</c:v>
                </c:pt>
                <c:pt idx="17">
                  <c:v>2000</c:v>
                </c:pt>
                <c:pt idx="18">
                  <c:v>2010</c:v>
                </c:pt>
                <c:pt idx="19">
                  <c:v>2020</c:v>
                </c:pt>
                <c:pt idx="20">
                  <c:v>2030</c:v>
                </c:pt>
                <c:pt idx="21">
                  <c:v>2040</c:v>
                </c:pt>
                <c:pt idx="22">
                  <c:v>2050</c:v>
                </c:pt>
                <c:pt idx="23">
                  <c:v>2060</c:v>
                </c:pt>
                <c:pt idx="24">
                  <c:v>2070</c:v>
                </c:pt>
                <c:pt idx="25">
                  <c:v>2080</c:v>
                </c:pt>
                <c:pt idx="26">
                  <c:v>2090</c:v>
                </c:pt>
                <c:pt idx="27">
                  <c:v>2100</c:v>
                </c:pt>
                <c:pt idx="28">
                  <c:v>2110</c:v>
                </c:pt>
                <c:pt idx="29">
                  <c:v>2120</c:v>
                </c:pt>
                <c:pt idx="30">
                  <c:v>2130</c:v>
                </c:pt>
                <c:pt idx="31">
                  <c:v>2140</c:v>
                </c:pt>
                <c:pt idx="32">
                  <c:v>2150</c:v>
                </c:pt>
                <c:pt idx="33">
                  <c:v>2160</c:v>
                </c:pt>
              </c:numCache>
            </c:numRef>
          </c:xVal>
          <c:yVal>
            <c:numRef>
              <c:f>'Proposed Streams'!$S$5:$S$38</c:f>
              <c:numCache>
                <c:formatCode>General</c:formatCode>
                <c:ptCount val="34"/>
                <c:pt idx="10" formatCode="0.0">
                  <c:v>65.099999999999994</c:v>
                </c:pt>
                <c:pt idx="11" formatCode="0.0">
                  <c:v>79.166828635823691</c:v>
                </c:pt>
                <c:pt idx="12" formatCode="0.0">
                  <c:v>94.530597491417396</c:v>
                </c:pt>
                <c:pt idx="13" formatCode="0.0">
                  <c:v>107.54423818395337</c:v>
                </c:pt>
                <c:pt idx="14" formatCode="0.0">
                  <c:v>117.62023012802437</c:v>
                </c:pt>
                <c:pt idx="15" formatCode="0.0">
                  <c:v>130.46441558152162</c:v>
                </c:pt>
                <c:pt idx="16" formatCode="0.0">
                  <c:v>143.84182384403641</c:v>
                </c:pt>
                <c:pt idx="17" formatCode="0.0">
                  <c:v>158.48426565557673</c:v>
                </c:pt>
                <c:pt idx="18" formatCode="0.0">
                  <c:v>171.28159729640677</c:v>
                </c:pt>
                <c:pt idx="19" formatCode="0.0">
                  <c:v>185.31447074552355</c:v>
                </c:pt>
                <c:pt idx="20" formatCode="0.0">
                  <c:v>197.59979324635592</c:v>
                </c:pt>
                <c:pt idx="21" formatCode="0.0">
                  <c:v>210.6995645505778</c:v>
                </c:pt>
                <c:pt idx="22" formatCode="0.0">
                  <c:v>224.66777810063226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'Proposed Streams'!$T$4</c:f>
              <c:strCache>
                <c:ptCount val="1"/>
                <c:pt idx="0">
                  <c:v>Mono</c:v>
                </c:pt>
              </c:strCache>
            </c:strRef>
          </c:tx>
          <c:xVal>
            <c:numRef>
              <c:f>'Proposed Streams'!$P$5:$P$38</c:f>
              <c:numCache>
                <c:formatCode>General</c:formatCode>
                <c:ptCount val="34"/>
                <c:pt idx="0">
                  <c:v>1830</c:v>
                </c:pt>
                <c:pt idx="1">
                  <c:v>1840</c:v>
                </c:pt>
                <c:pt idx="2">
                  <c:v>1850</c:v>
                </c:pt>
                <c:pt idx="3">
                  <c:v>1860</c:v>
                </c:pt>
                <c:pt idx="4">
                  <c:v>1870</c:v>
                </c:pt>
                <c:pt idx="5">
                  <c:v>1880</c:v>
                </c:pt>
                <c:pt idx="6">
                  <c:v>1890</c:v>
                </c:pt>
                <c:pt idx="7">
                  <c:v>1900</c:v>
                </c:pt>
                <c:pt idx="8">
                  <c:v>1910</c:v>
                </c:pt>
                <c:pt idx="9">
                  <c:v>1920</c:v>
                </c:pt>
                <c:pt idx="10">
                  <c:v>1930</c:v>
                </c:pt>
                <c:pt idx="11">
                  <c:v>1940</c:v>
                </c:pt>
                <c:pt idx="12">
                  <c:v>1950</c:v>
                </c:pt>
                <c:pt idx="13">
                  <c:v>1960</c:v>
                </c:pt>
                <c:pt idx="14">
                  <c:v>1970</c:v>
                </c:pt>
                <c:pt idx="15">
                  <c:v>1980</c:v>
                </c:pt>
                <c:pt idx="16">
                  <c:v>1990</c:v>
                </c:pt>
                <c:pt idx="17">
                  <c:v>2000</c:v>
                </c:pt>
                <c:pt idx="18">
                  <c:v>2010</c:v>
                </c:pt>
                <c:pt idx="19">
                  <c:v>2020</c:v>
                </c:pt>
                <c:pt idx="20">
                  <c:v>2030</c:v>
                </c:pt>
                <c:pt idx="21">
                  <c:v>2040</c:v>
                </c:pt>
                <c:pt idx="22">
                  <c:v>2050</c:v>
                </c:pt>
                <c:pt idx="23">
                  <c:v>2060</c:v>
                </c:pt>
                <c:pt idx="24">
                  <c:v>2070</c:v>
                </c:pt>
                <c:pt idx="25">
                  <c:v>2080</c:v>
                </c:pt>
                <c:pt idx="26">
                  <c:v>2090</c:v>
                </c:pt>
                <c:pt idx="27">
                  <c:v>2100</c:v>
                </c:pt>
                <c:pt idx="28">
                  <c:v>2110</c:v>
                </c:pt>
                <c:pt idx="29">
                  <c:v>2120</c:v>
                </c:pt>
                <c:pt idx="30">
                  <c:v>2130</c:v>
                </c:pt>
                <c:pt idx="31">
                  <c:v>2140</c:v>
                </c:pt>
                <c:pt idx="32">
                  <c:v>2150</c:v>
                </c:pt>
                <c:pt idx="33">
                  <c:v>2160</c:v>
                </c:pt>
              </c:numCache>
            </c:numRef>
          </c:xVal>
          <c:yVal>
            <c:numRef>
              <c:f>'Proposed Streams'!$T$5:$T$38</c:f>
              <c:numCache>
                <c:formatCode>General</c:formatCode>
                <c:ptCount val="34"/>
                <c:pt idx="18" formatCode="0.0">
                  <c:v>148</c:v>
                </c:pt>
                <c:pt idx="19" formatCode="0.0">
                  <c:v>171.76004210372199</c:v>
                </c:pt>
                <c:pt idx="20" formatCode="0.0">
                  <c:v>195.44141194527563</c:v>
                </c:pt>
                <c:pt idx="21" formatCode="0.0">
                  <c:v>218.03597056086264</c:v>
                </c:pt>
                <c:pt idx="22" formatCode="0.0">
                  <c:v>238.47332649178972</c:v>
                </c:pt>
                <c:pt idx="23" formatCode="0.0">
                  <c:v>258.25285470021583</c:v>
                </c:pt>
                <c:pt idx="24" formatCode="0.0">
                  <c:v>276.91076307521683</c:v>
                </c:pt>
                <c:pt idx="25" formatCode="0.0">
                  <c:v>293.98125773226735</c:v>
                </c:pt>
                <c:pt idx="26" formatCode="0.0">
                  <c:v>312.10408341683097</c:v>
                </c:pt>
                <c:pt idx="27" formatCode="0.0">
                  <c:v>334.65256365963245</c:v>
                </c:pt>
              </c:numCache>
            </c:numRef>
          </c:yVal>
          <c:smooth val="0"/>
        </c:ser>
        <c:ser>
          <c:idx val="4"/>
          <c:order val="4"/>
          <c:tx>
            <c:strRef>
              <c:f>'Proposed Streams'!$U$4</c:f>
              <c:strCache>
                <c:ptCount val="1"/>
                <c:pt idx="0">
                  <c:v>Maglev</c:v>
                </c:pt>
              </c:strCache>
            </c:strRef>
          </c:tx>
          <c:xVal>
            <c:numRef>
              <c:f>'Proposed Streams'!$P$5:$P$38</c:f>
              <c:numCache>
                <c:formatCode>General</c:formatCode>
                <c:ptCount val="34"/>
                <c:pt idx="0">
                  <c:v>1830</c:v>
                </c:pt>
                <c:pt idx="1">
                  <c:v>1840</c:v>
                </c:pt>
                <c:pt idx="2">
                  <c:v>1850</c:v>
                </c:pt>
                <c:pt idx="3">
                  <c:v>1860</c:v>
                </c:pt>
                <c:pt idx="4">
                  <c:v>1870</c:v>
                </c:pt>
                <c:pt idx="5">
                  <c:v>1880</c:v>
                </c:pt>
                <c:pt idx="6">
                  <c:v>1890</c:v>
                </c:pt>
                <c:pt idx="7">
                  <c:v>1900</c:v>
                </c:pt>
                <c:pt idx="8">
                  <c:v>1910</c:v>
                </c:pt>
                <c:pt idx="9">
                  <c:v>1920</c:v>
                </c:pt>
                <c:pt idx="10">
                  <c:v>1930</c:v>
                </c:pt>
                <c:pt idx="11">
                  <c:v>1940</c:v>
                </c:pt>
                <c:pt idx="12">
                  <c:v>1950</c:v>
                </c:pt>
                <c:pt idx="13">
                  <c:v>1960</c:v>
                </c:pt>
                <c:pt idx="14">
                  <c:v>1970</c:v>
                </c:pt>
                <c:pt idx="15">
                  <c:v>1980</c:v>
                </c:pt>
                <c:pt idx="16">
                  <c:v>1990</c:v>
                </c:pt>
                <c:pt idx="17">
                  <c:v>2000</c:v>
                </c:pt>
                <c:pt idx="18">
                  <c:v>2010</c:v>
                </c:pt>
                <c:pt idx="19">
                  <c:v>2020</c:v>
                </c:pt>
                <c:pt idx="20">
                  <c:v>2030</c:v>
                </c:pt>
                <c:pt idx="21">
                  <c:v>2040</c:v>
                </c:pt>
                <c:pt idx="22">
                  <c:v>2050</c:v>
                </c:pt>
                <c:pt idx="23">
                  <c:v>2060</c:v>
                </c:pt>
                <c:pt idx="24">
                  <c:v>2070</c:v>
                </c:pt>
                <c:pt idx="25">
                  <c:v>2080</c:v>
                </c:pt>
                <c:pt idx="26">
                  <c:v>2090</c:v>
                </c:pt>
                <c:pt idx="27">
                  <c:v>2100</c:v>
                </c:pt>
                <c:pt idx="28">
                  <c:v>2110</c:v>
                </c:pt>
                <c:pt idx="29">
                  <c:v>2120</c:v>
                </c:pt>
                <c:pt idx="30">
                  <c:v>2130</c:v>
                </c:pt>
                <c:pt idx="31">
                  <c:v>2140</c:v>
                </c:pt>
                <c:pt idx="32">
                  <c:v>2150</c:v>
                </c:pt>
                <c:pt idx="33">
                  <c:v>2160</c:v>
                </c:pt>
              </c:numCache>
            </c:numRef>
          </c:xVal>
          <c:yVal>
            <c:numRef>
              <c:f>'Proposed Streams'!$U$5:$U$38</c:f>
              <c:numCache>
                <c:formatCode>General</c:formatCode>
                <c:ptCount val="34"/>
                <c:pt idx="23" formatCode="0.0">
                  <c:v>225</c:v>
                </c:pt>
                <c:pt idx="24" formatCode="0.0">
                  <c:v>256.02181478933227</c:v>
                </c:pt>
                <c:pt idx="25" formatCode="0.0">
                  <c:v>291.32075399121402</c:v>
                </c:pt>
                <c:pt idx="26" formatCode="0.0">
                  <c:v>331.48652498945432</c:v>
                </c:pt>
                <c:pt idx="27" formatCode="0.0">
                  <c:v>377.19014091559745</c:v>
                </c:pt>
                <c:pt idx="28" formatCode="0.0">
                  <c:v>429.19513065713431</c:v>
                </c:pt>
                <c:pt idx="29" formatCode="0.0">
                  <c:v>488.37029444259599</c:v>
                </c:pt>
                <c:pt idx="30" formatCode="0.0">
                  <c:v>555.7042180995287</c:v>
                </c:pt>
                <c:pt idx="31" formatCode="0.0">
                  <c:v>632.32178846190322</c:v>
                </c:pt>
                <c:pt idx="32" formatCode="0.0">
                  <c:v>719.50298583490087</c:v>
                </c:pt>
                <c:pt idx="33" formatCode="0.0">
                  <c:v>756.29846353423977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3808640"/>
        <c:axId val="173822720"/>
      </c:scatterChart>
      <c:valAx>
        <c:axId val="1738086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73822720"/>
        <c:crosses val="autoZero"/>
        <c:crossBetween val="midCat"/>
      </c:valAx>
      <c:valAx>
        <c:axId val="173822720"/>
        <c:scaling>
          <c:logBase val="10"/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73808640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'Proposed Streams'!$Q$4</c:f>
              <c:strCache>
                <c:ptCount val="1"/>
                <c:pt idx="0">
                  <c:v>Steam</c:v>
                </c:pt>
              </c:strCache>
            </c:strRef>
          </c:tx>
          <c:xVal>
            <c:numRef>
              <c:f>'Proposed Streams'!$P$5:$P$37</c:f>
              <c:numCache>
                <c:formatCode>General</c:formatCode>
                <c:ptCount val="33"/>
                <c:pt idx="0">
                  <c:v>1830</c:v>
                </c:pt>
                <c:pt idx="1">
                  <c:v>1840</c:v>
                </c:pt>
                <c:pt idx="2">
                  <c:v>1850</c:v>
                </c:pt>
                <c:pt idx="3">
                  <c:v>1860</c:v>
                </c:pt>
                <c:pt idx="4">
                  <c:v>1870</c:v>
                </c:pt>
                <c:pt idx="5">
                  <c:v>1880</c:v>
                </c:pt>
                <c:pt idx="6">
                  <c:v>1890</c:v>
                </c:pt>
                <c:pt idx="7">
                  <c:v>1900</c:v>
                </c:pt>
                <c:pt idx="8">
                  <c:v>1910</c:v>
                </c:pt>
                <c:pt idx="9">
                  <c:v>1920</c:v>
                </c:pt>
                <c:pt idx="10">
                  <c:v>1930</c:v>
                </c:pt>
                <c:pt idx="11">
                  <c:v>1940</c:v>
                </c:pt>
                <c:pt idx="12">
                  <c:v>1950</c:v>
                </c:pt>
                <c:pt idx="13">
                  <c:v>1960</c:v>
                </c:pt>
                <c:pt idx="14">
                  <c:v>1970</c:v>
                </c:pt>
                <c:pt idx="15">
                  <c:v>1980</c:v>
                </c:pt>
                <c:pt idx="16">
                  <c:v>1990</c:v>
                </c:pt>
                <c:pt idx="17">
                  <c:v>2000</c:v>
                </c:pt>
                <c:pt idx="18">
                  <c:v>2010</c:v>
                </c:pt>
                <c:pt idx="19">
                  <c:v>2020</c:v>
                </c:pt>
                <c:pt idx="20">
                  <c:v>2030</c:v>
                </c:pt>
                <c:pt idx="21">
                  <c:v>2040</c:v>
                </c:pt>
                <c:pt idx="22">
                  <c:v>2050</c:v>
                </c:pt>
                <c:pt idx="23">
                  <c:v>2060</c:v>
                </c:pt>
                <c:pt idx="24">
                  <c:v>2070</c:v>
                </c:pt>
                <c:pt idx="25">
                  <c:v>2080</c:v>
                </c:pt>
                <c:pt idx="26">
                  <c:v>2090</c:v>
                </c:pt>
                <c:pt idx="27">
                  <c:v>2100</c:v>
                </c:pt>
                <c:pt idx="28">
                  <c:v>2110</c:v>
                </c:pt>
                <c:pt idx="29">
                  <c:v>2120</c:v>
                </c:pt>
                <c:pt idx="30">
                  <c:v>2130</c:v>
                </c:pt>
                <c:pt idx="31">
                  <c:v>2140</c:v>
                </c:pt>
                <c:pt idx="32">
                  <c:v>2150</c:v>
                </c:pt>
              </c:numCache>
            </c:numRef>
          </c:xVal>
          <c:yVal>
            <c:numRef>
              <c:f>'Proposed Streams'!$Q$5:$Q$37</c:f>
              <c:numCache>
                <c:formatCode>0.0</c:formatCode>
                <c:ptCount val="33"/>
                <c:pt idx="0" formatCode="General">
                  <c:v>29</c:v>
                </c:pt>
                <c:pt idx="1">
                  <c:v>34.324761407639841</c:v>
                </c:pt>
                <c:pt idx="2">
                  <c:v>40.627215368669013</c:v>
                </c:pt>
                <c:pt idx="3">
                  <c:v>48.086878420219392</c:v>
                </c:pt>
                <c:pt idx="4">
                  <c:v>56.916228572835017</c:v>
                </c:pt>
                <c:pt idx="5">
                  <c:v>62.870925376514954</c:v>
                </c:pt>
                <c:pt idx="6">
                  <c:v>69.448615215975195</c:v>
                </c:pt>
                <c:pt idx="7">
                  <c:v>76.714476946735459</c:v>
                </c:pt>
                <c:pt idx="8">
                  <c:v>89.030282367137104</c:v>
                </c:pt>
                <c:pt idx="9">
                  <c:v>103.32327735057923</c:v>
                </c:pt>
                <c:pt idx="10">
                  <c:v>112.44941456764104</c:v>
                </c:pt>
                <c:pt idx="11">
                  <c:v>114.14758695115692</c:v>
                </c:pt>
                <c:pt idx="12">
                  <c:v>115.87140454994781</c:v>
                </c:pt>
                <c:pt idx="13">
                  <c:v>117.6212546492345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'Proposed Streams'!$R$4</c:f>
              <c:strCache>
                <c:ptCount val="1"/>
                <c:pt idx="0">
                  <c:v>Diesel</c:v>
                </c:pt>
              </c:strCache>
            </c:strRef>
          </c:tx>
          <c:xVal>
            <c:numRef>
              <c:f>'Proposed Streams'!$P$5:$P$37</c:f>
              <c:numCache>
                <c:formatCode>General</c:formatCode>
                <c:ptCount val="33"/>
                <c:pt idx="0">
                  <c:v>1830</c:v>
                </c:pt>
                <c:pt idx="1">
                  <c:v>1840</c:v>
                </c:pt>
                <c:pt idx="2">
                  <c:v>1850</c:v>
                </c:pt>
                <c:pt idx="3">
                  <c:v>1860</c:v>
                </c:pt>
                <c:pt idx="4">
                  <c:v>1870</c:v>
                </c:pt>
                <c:pt idx="5">
                  <c:v>1880</c:v>
                </c:pt>
                <c:pt idx="6">
                  <c:v>1890</c:v>
                </c:pt>
                <c:pt idx="7">
                  <c:v>1900</c:v>
                </c:pt>
                <c:pt idx="8">
                  <c:v>1910</c:v>
                </c:pt>
                <c:pt idx="9">
                  <c:v>1920</c:v>
                </c:pt>
                <c:pt idx="10">
                  <c:v>1930</c:v>
                </c:pt>
                <c:pt idx="11">
                  <c:v>1940</c:v>
                </c:pt>
                <c:pt idx="12">
                  <c:v>1950</c:v>
                </c:pt>
                <c:pt idx="13">
                  <c:v>1960</c:v>
                </c:pt>
                <c:pt idx="14">
                  <c:v>1970</c:v>
                </c:pt>
                <c:pt idx="15">
                  <c:v>1980</c:v>
                </c:pt>
                <c:pt idx="16">
                  <c:v>1990</c:v>
                </c:pt>
                <c:pt idx="17">
                  <c:v>2000</c:v>
                </c:pt>
                <c:pt idx="18">
                  <c:v>2010</c:v>
                </c:pt>
                <c:pt idx="19">
                  <c:v>2020</c:v>
                </c:pt>
                <c:pt idx="20">
                  <c:v>2030</c:v>
                </c:pt>
                <c:pt idx="21">
                  <c:v>2040</c:v>
                </c:pt>
                <c:pt idx="22">
                  <c:v>2050</c:v>
                </c:pt>
                <c:pt idx="23">
                  <c:v>2060</c:v>
                </c:pt>
                <c:pt idx="24">
                  <c:v>2070</c:v>
                </c:pt>
                <c:pt idx="25">
                  <c:v>2080</c:v>
                </c:pt>
                <c:pt idx="26">
                  <c:v>2090</c:v>
                </c:pt>
                <c:pt idx="27">
                  <c:v>2100</c:v>
                </c:pt>
                <c:pt idx="28">
                  <c:v>2110</c:v>
                </c:pt>
                <c:pt idx="29">
                  <c:v>2120</c:v>
                </c:pt>
                <c:pt idx="30">
                  <c:v>2130</c:v>
                </c:pt>
                <c:pt idx="31">
                  <c:v>2140</c:v>
                </c:pt>
                <c:pt idx="32">
                  <c:v>2150</c:v>
                </c:pt>
              </c:numCache>
            </c:numRef>
          </c:xVal>
          <c:yVal>
            <c:numRef>
              <c:f>'Proposed Streams'!$R$5:$R$37</c:f>
              <c:numCache>
                <c:formatCode>General</c:formatCode>
                <c:ptCount val="33"/>
                <c:pt idx="10">
                  <c:v>70</c:v>
                </c:pt>
                <c:pt idx="11" formatCode="0.0">
                  <c:v>89.60591809374499</c:v>
                </c:pt>
                <c:pt idx="12" formatCode="0.0">
                  <c:v>110.30472463832042</c:v>
                </c:pt>
                <c:pt idx="13" formatCode="0.0">
                  <c:v>126.75749989224552</c:v>
                </c:pt>
                <c:pt idx="14" formatCode="0.0">
                  <c:v>135.91530696306796</c:v>
                </c:pt>
                <c:pt idx="15" formatCode="0.0">
                  <c:v>143.57840339782467</c:v>
                </c:pt>
                <c:pt idx="16" formatCode="0.0">
                  <c:v>147.94437239824518</c:v>
                </c:pt>
                <c:pt idx="17" formatCode="0.0">
                  <c:v>150.93003235812733</c:v>
                </c:pt>
                <c:pt idx="18" formatCode="0.0">
                  <c:v>152.44614267650178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'Proposed Streams'!$S$4</c:f>
              <c:strCache>
                <c:ptCount val="1"/>
                <c:pt idx="0">
                  <c:v>Electric</c:v>
                </c:pt>
              </c:strCache>
            </c:strRef>
          </c:tx>
          <c:xVal>
            <c:numRef>
              <c:f>'Proposed Streams'!$P$5:$P$37</c:f>
              <c:numCache>
                <c:formatCode>General</c:formatCode>
                <c:ptCount val="33"/>
                <c:pt idx="0">
                  <c:v>1830</c:v>
                </c:pt>
                <c:pt idx="1">
                  <c:v>1840</c:v>
                </c:pt>
                <c:pt idx="2">
                  <c:v>1850</c:v>
                </c:pt>
                <c:pt idx="3">
                  <c:v>1860</c:v>
                </c:pt>
                <c:pt idx="4">
                  <c:v>1870</c:v>
                </c:pt>
                <c:pt idx="5">
                  <c:v>1880</c:v>
                </c:pt>
                <c:pt idx="6">
                  <c:v>1890</c:v>
                </c:pt>
                <c:pt idx="7">
                  <c:v>1900</c:v>
                </c:pt>
                <c:pt idx="8">
                  <c:v>1910</c:v>
                </c:pt>
                <c:pt idx="9">
                  <c:v>1920</c:v>
                </c:pt>
                <c:pt idx="10">
                  <c:v>1930</c:v>
                </c:pt>
                <c:pt idx="11">
                  <c:v>1940</c:v>
                </c:pt>
                <c:pt idx="12">
                  <c:v>1950</c:v>
                </c:pt>
                <c:pt idx="13">
                  <c:v>1960</c:v>
                </c:pt>
                <c:pt idx="14">
                  <c:v>1970</c:v>
                </c:pt>
                <c:pt idx="15">
                  <c:v>1980</c:v>
                </c:pt>
                <c:pt idx="16">
                  <c:v>1990</c:v>
                </c:pt>
                <c:pt idx="17">
                  <c:v>2000</c:v>
                </c:pt>
                <c:pt idx="18">
                  <c:v>2010</c:v>
                </c:pt>
                <c:pt idx="19">
                  <c:v>2020</c:v>
                </c:pt>
                <c:pt idx="20">
                  <c:v>2030</c:v>
                </c:pt>
                <c:pt idx="21">
                  <c:v>2040</c:v>
                </c:pt>
                <c:pt idx="22">
                  <c:v>2050</c:v>
                </c:pt>
                <c:pt idx="23">
                  <c:v>2060</c:v>
                </c:pt>
                <c:pt idx="24">
                  <c:v>2070</c:v>
                </c:pt>
                <c:pt idx="25">
                  <c:v>2080</c:v>
                </c:pt>
                <c:pt idx="26">
                  <c:v>2090</c:v>
                </c:pt>
                <c:pt idx="27">
                  <c:v>2100</c:v>
                </c:pt>
                <c:pt idx="28">
                  <c:v>2110</c:v>
                </c:pt>
                <c:pt idx="29">
                  <c:v>2120</c:v>
                </c:pt>
                <c:pt idx="30">
                  <c:v>2130</c:v>
                </c:pt>
                <c:pt idx="31">
                  <c:v>2140</c:v>
                </c:pt>
                <c:pt idx="32">
                  <c:v>2150</c:v>
                </c:pt>
              </c:numCache>
            </c:numRef>
          </c:xVal>
          <c:yVal>
            <c:numRef>
              <c:f>'Proposed Streams'!$S$5:$S$37</c:f>
              <c:numCache>
                <c:formatCode>General</c:formatCode>
                <c:ptCount val="33"/>
                <c:pt idx="10" formatCode="0.0">
                  <c:v>65.099999999999994</c:v>
                </c:pt>
                <c:pt idx="11" formatCode="0.0">
                  <c:v>79.166828635823691</c:v>
                </c:pt>
                <c:pt idx="12" formatCode="0.0">
                  <c:v>94.530597491417396</c:v>
                </c:pt>
                <c:pt idx="13" formatCode="0.0">
                  <c:v>107.54423818395337</c:v>
                </c:pt>
                <c:pt idx="14" formatCode="0.0">
                  <c:v>117.62023012802437</c:v>
                </c:pt>
                <c:pt idx="15" formatCode="0.0">
                  <c:v>130.46441558152162</c:v>
                </c:pt>
                <c:pt idx="16" formatCode="0.0">
                  <c:v>143.84182384403641</c:v>
                </c:pt>
                <c:pt idx="17" formatCode="0.0">
                  <c:v>158.48426565557673</c:v>
                </c:pt>
                <c:pt idx="18" formatCode="0.0">
                  <c:v>171.28159729640677</c:v>
                </c:pt>
                <c:pt idx="19" formatCode="0.0">
                  <c:v>185.31447074552355</c:v>
                </c:pt>
                <c:pt idx="20" formatCode="0.0">
                  <c:v>197.59979324635592</c:v>
                </c:pt>
                <c:pt idx="21" formatCode="0.0">
                  <c:v>210.6995645505778</c:v>
                </c:pt>
                <c:pt idx="22" formatCode="0.0">
                  <c:v>224.66777810063226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'Proposed Streams'!$T$4</c:f>
              <c:strCache>
                <c:ptCount val="1"/>
                <c:pt idx="0">
                  <c:v>Mono</c:v>
                </c:pt>
              </c:strCache>
            </c:strRef>
          </c:tx>
          <c:xVal>
            <c:numRef>
              <c:f>'Proposed Streams'!$P$5:$P$37</c:f>
              <c:numCache>
                <c:formatCode>General</c:formatCode>
                <c:ptCount val="33"/>
                <c:pt idx="0">
                  <c:v>1830</c:v>
                </c:pt>
                <c:pt idx="1">
                  <c:v>1840</c:v>
                </c:pt>
                <c:pt idx="2">
                  <c:v>1850</c:v>
                </c:pt>
                <c:pt idx="3">
                  <c:v>1860</c:v>
                </c:pt>
                <c:pt idx="4">
                  <c:v>1870</c:v>
                </c:pt>
                <c:pt idx="5">
                  <c:v>1880</c:v>
                </c:pt>
                <c:pt idx="6">
                  <c:v>1890</c:v>
                </c:pt>
                <c:pt idx="7">
                  <c:v>1900</c:v>
                </c:pt>
                <c:pt idx="8">
                  <c:v>1910</c:v>
                </c:pt>
                <c:pt idx="9">
                  <c:v>1920</c:v>
                </c:pt>
                <c:pt idx="10">
                  <c:v>1930</c:v>
                </c:pt>
                <c:pt idx="11">
                  <c:v>1940</c:v>
                </c:pt>
                <c:pt idx="12">
                  <c:v>1950</c:v>
                </c:pt>
                <c:pt idx="13">
                  <c:v>1960</c:v>
                </c:pt>
                <c:pt idx="14">
                  <c:v>1970</c:v>
                </c:pt>
                <c:pt idx="15">
                  <c:v>1980</c:v>
                </c:pt>
                <c:pt idx="16">
                  <c:v>1990</c:v>
                </c:pt>
                <c:pt idx="17">
                  <c:v>2000</c:v>
                </c:pt>
                <c:pt idx="18">
                  <c:v>2010</c:v>
                </c:pt>
                <c:pt idx="19">
                  <c:v>2020</c:v>
                </c:pt>
                <c:pt idx="20">
                  <c:v>2030</c:v>
                </c:pt>
                <c:pt idx="21">
                  <c:v>2040</c:v>
                </c:pt>
                <c:pt idx="22">
                  <c:v>2050</c:v>
                </c:pt>
                <c:pt idx="23">
                  <c:v>2060</c:v>
                </c:pt>
                <c:pt idx="24">
                  <c:v>2070</c:v>
                </c:pt>
                <c:pt idx="25">
                  <c:v>2080</c:v>
                </c:pt>
                <c:pt idx="26">
                  <c:v>2090</c:v>
                </c:pt>
                <c:pt idx="27">
                  <c:v>2100</c:v>
                </c:pt>
                <c:pt idx="28">
                  <c:v>2110</c:v>
                </c:pt>
                <c:pt idx="29">
                  <c:v>2120</c:v>
                </c:pt>
                <c:pt idx="30">
                  <c:v>2130</c:v>
                </c:pt>
                <c:pt idx="31">
                  <c:v>2140</c:v>
                </c:pt>
                <c:pt idx="32">
                  <c:v>2150</c:v>
                </c:pt>
              </c:numCache>
            </c:numRef>
          </c:xVal>
          <c:yVal>
            <c:numRef>
              <c:f>'Proposed Streams'!$T$5:$T$37</c:f>
              <c:numCache>
                <c:formatCode>General</c:formatCode>
                <c:ptCount val="33"/>
                <c:pt idx="18" formatCode="0.0">
                  <c:v>148</c:v>
                </c:pt>
                <c:pt idx="19" formatCode="0.0">
                  <c:v>171.76004210372199</c:v>
                </c:pt>
                <c:pt idx="20" formatCode="0.0">
                  <c:v>195.44141194527563</c:v>
                </c:pt>
                <c:pt idx="21" formatCode="0.0">
                  <c:v>218.03597056086264</c:v>
                </c:pt>
                <c:pt idx="22" formatCode="0.0">
                  <c:v>238.47332649178972</c:v>
                </c:pt>
                <c:pt idx="23" formatCode="0.0">
                  <c:v>258.25285470021583</c:v>
                </c:pt>
                <c:pt idx="24" formatCode="0.0">
                  <c:v>276.91076307521683</c:v>
                </c:pt>
                <c:pt idx="25" formatCode="0.0">
                  <c:v>293.98125773226735</c:v>
                </c:pt>
                <c:pt idx="26" formatCode="0.0">
                  <c:v>312.10408341683097</c:v>
                </c:pt>
                <c:pt idx="27" formatCode="0.0">
                  <c:v>334.65256365963245</c:v>
                </c:pt>
              </c:numCache>
            </c:numRef>
          </c:yVal>
          <c:smooth val="0"/>
        </c:ser>
        <c:ser>
          <c:idx val="4"/>
          <c:order val="4"/>
          <c:tx>
            <c:strRef>
              <c:f>'Proposed Streams'!$U$4</c:f>
              <c:strCache>
                <c:ptCount val="1"/>
                <c:pt idx="0">
                  <c:v>Maglev</c:v>
                </c:pt>
              </c:strCache>
            </c:strRef>
          </c:tx>
          <c:xVal>
            <c:numRef>
              <c:f>'Proposed Streams'!$P$5:$P$38</c:f>
              <c:numCache>
                <c:formatCode>General</c:formatCode>
                <c:ptCount val="34"/>
                <c:pt idx="0">
                  <c:v>1830</c:v>
                </c:pt>
                <c:pt idx="1">
                  <c:v>1840</c:v>
                </c:pt>
                <c:pt idx="2">
                  <c:v>1850</c:v>
                </c:pt>
                <c:pt idx="3">
                  <c:v>1860</c:v>
                </c:pt>
                <c:pt idx="4">
                  <c:v>1870</c:v>
                </c:pt>
                <c:pt idx="5">
                  <c:v>1880</c:v>
                </c:pt>
                <c:pt idx="6">
                  <c:v>1890</c:v>
                </c:pt>
                <c:pt idx="7">
                  <c:v>1900</c:v>
                </c:pt>
                <c:pt idx="8">
                  <c:v>1910</c:v>
                </c:pt>
                <c:pt idx="9">
                  <c:v>1920</c:v>
                </c:pt>
                <c:pt idx="10">
                  <c:v>1930</c:v>
                </c:pt>
                <c:pt idx="11">
                  <c:v>1940</c:v>
                </c:pt>
                <c:pt idx="12">
                  <c:v>1950</c:v>
                </c:pt>
                <c:pt idx="13">
                  <c:v>1960</c:v>
                </c:pt>
                <c:pt idx="14">
                  <c:v>1970</c:v>
                </c:pt>
                <c:pt idx="15">
                  <c:v>1980</c:v>
                </c:pt>
                <c:pt idx="16">
                  <c:v>1990</c:v>
                </c:pt>
                <c:pt idx="17">
                  <c:v>2000</c:v>
                </c:pt>
                <c:pt idx="18">
                  <c:v>2010</c:v>
                </c:pt>
                <c:pt idx="19">
                  <c:v>2020</c:v>
                </c:pt>
                <c:pt idx="20">
                  <c:v>2030</c:v>
                </c:pt>
                <c:pt idx="21">
                  <c:v>2040</c:v>
                </c:pt>
                <c:pt idx="22">
                  <c:v>2050</c:v>
                </c:pt>
                <c:pt idx="23">
                  <c:v>2060</c:v>
                </c:pt>
                <c:pt idx="24">
                  <c:v>2070</c:v>
                </c:pt>
                <c:pt idx="25">
                  <c:v>2080</c:v>
                </c:pt>
                <c:pt idx="26">
                  <c:v>2090</c:v>
                </c:pt>
                <c:pt idx="27">
                  <c:v>2100</c:v>
                </c:pt>
                <c:pt idx="28">
                  <c:v>2110</c:v>
                </c:pt>
                <c:pt idx="29">
                  <c:v>2120</c:v>
                </c:pt>
                <c:pt idx="30">
                  <c:v>2130</c:v>
                </c:pt>
                <c:pt idx="31">
                  <c:v>2140</c:v>
                </c:pt>
                <c:pt idx="32">
                  <c:v>2150</c:v>
                </c:pt>
                <c:pt idx="33">
                  <c:v>2160</c:v>
                </c:pt>
              </c:numCache>
            </c:numRef>
          </c:xVal>
          <c:yVal>
            <c:numRef>
              <c:f>'Proposed Streams'!$U$5:$U$38</c:f>
              <c:numCache>
                <c:formatCode>General</c:formatCode>
                <c:ptCount val="34"/>
                <c:pt idx="23" formatCode="0.0">
                  <c:v>225</c:v>
                </c:pt>
                <c:pt idx="24" formatCode="0.0">
                  <c:v>256.02181478933227</c:v>
                </c:pt>
                <c:pt idx="25" formatCode="0.0">
                  <c:v>291.32075399121402</c:v>
                </c:pt>
                <c:pt idx="26" formatCode="0.0">
                  <c:v>331.48652498945432</c:v>
                </c:pt>
                <c:pt idx="27" formatCode="0.0">
                  <c:v>377.19014091559745</c:v>
                </c:pt>
                <c:pt idx="28" formatCode="0.0">
                  <c:v>429.19513065713431</c:v>
                </c:pt>
                <c:pt idx="29" formatCode="0.0">
                  <c:v>488.37029444259599</c:v>
                </c:pt>
                <c:pt idx="30" formatCode="0.0">
                  <c:v>555.7042180995287</c:v>
                </c:pt>
                <c:pt idx="31" formatCode="0.0">
                  <c:v>632.32178846190322</c:v>
                </c:pt>
                <c:pt idx="32" formatCode="0.0">
                  <c:v>719.50298583490087</c:v>
                </c:pt>
                <c:pt idx="33" formatCode="0.0">
                  <c:v>756.29846353423977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3854080"/>
        <c:axId val="174269568"/>
      </c:scatterChart>
      <c:valAx>
        <c:axId val="1738540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74269568"/>
        <c:crosses val="autoZero"/>
        <c:crossBetween val="midCat"/>
      </c:valAx>
      <c:valAx>
        <c:axId val="17426956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73854080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Compressed Intro</a:t>
            </a:r>
            <a:r>
              <a:rPr lang="en-US" baseline="0"/>
              <a:t> v2</a:t>
            </a:r>
          </a:p>
        </c:rich>
      </c:tx>
      <c:layout/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rendline>
            <c:trendlineType val="power"/>
            <c:dispRSqr val="1"/>
            <c:dispEq val="1"/>
            <c:trendlineLbl>
              <c:layout/>
              <c:numFmt formatCode="General" sourceLinked="0"/>
            </c:trendlineLbl>
          </c:trendline>
          <c:xVal>
            <c:numRef>
              <c:f>'Proposed Streams'!$W$5:$W$38</c:f>
              <c:numCache>
                <c:formatCode>0.0</c:formatCode>
                <c:ptCount val="34"/>
                <c:pt idx="0">
                  <c:v>1947</c:v>
                </c:pt>
                <c:pt idx="1">
                  <c:v>1950</c:v>
                </c:pt>
                <c:pt idx="2">
                  <c:v>1953</c:v>
                </c:pt>
                <c:pt idx="3">
                  <c:v>1956</c:v>
                </c:pt>
                <c:pt idx="4">
                  <c:v>1959</c:v>
                </c:pt>
                <c:pt idx="5">
                  <c:v>1962</c:v>
                </c:pt>
                <c:pt idx="6">
                  <c:v>1965</c:v>
                </c:pt>
                <c:pt idx="7">
                  <c:v>1968</c:v>
                </c:pt>
                <c:pt idx="8">
                  <c:v>1971</c:v>
                </c:pt>
                <c:pt idx="9">
                  <c:v>1974</c:v>
                </c:pt>
                <c:pt idx="10">
                  <c:v>1977</c:v>
                </c:pt>
                <c:pt idx="11">
                  <c:v>1980</c:v>
                </c:pt>
                <c:pt idx="12">
                  <c:v>1983</c:v>
                </c:pt>
                <c:pt idx="13">
                  <c:v>1986</c:v>
                </c:pt>
                <c:pt idx="14">
                  <c:v>1989</c:v>
                </c:pt>
                <c:pt idx="15">
                  <c:v>1992</c:v>
                </c:pt>
                <c:pt idx="16">
                  <c:v>1995</c:v>
                </c:pt>
                <c:pt idx="17">
                  <c:v>1998</c:v>
                </c:pt>
                <c:pt idx="18">
                  <c:v>2001</c:v>
                </c:pt>
                <c:pt idx="19">
                  <c:v>2004</c:v>
                </c:pt>
                <c:pt idx="20">
                  <c:v>2007</c:v>
                </c:pt>
                <c:pt idx="21">
                  <c:v>2010</c:v>
                </c:pt>
                <c:pt idx="22">
                  <c:v>2013</c:v>
                </c:pt>
                <c:pt idx="23">
                  <c:v>2016</c:v>
                </c:pt>
                <c:pt idx="24">
                  <c:v>2019</c:v>
                </c:pt>
                <c:pt idx="25">
                  <c:v>2022</c:v>
                </c:pt>
                <c:pt idx="26">
                  <c:v>2025</c:v>
                </c:pt>
                <c:pt idx="27">
                  <c:v>2028</c:v>
                </c:pt>
                <c:pt idx="28">
                  <c:v>2031</c:v>
                </c:pt>
                <c:pt idx="29">
                  <c:v>2034</c:v>
                </c:pt>
                <c:pt idx="30">
                  <c:v>2037</c:v>
                </c:pt>
                <c:pt idx="31">
                  <c:v>2040</c:v>
                </c:pt>
                <c:pt idx="32">
                  <c:v>2043</c:v>
                </c:pt>
                <c:pt idx="33">
                  <c:v>2046</c:v>
                </c:pt>
              </c:numCache>
            </c:numRef>
          </c:xVal>
          <c:yVal>
            <c:numRef>
              <c:f>'Proposed Streams'!$X$5:$X$38</c:f>
              <c:numCache>
                <c:formatCode>0</c:formatCode>
                <c:ptCount val="34"/>
                <c:pt idx="0">
                  <c:v>29</c:v>
                </c:pt>
                <c:pt idx="1">
                  <c:v>34.324761407639841</c:v>
                </c:pt>
                <c:pt idx="2">
                  <c:v>40.627215368669013</c:v>
                </c:pt>
                <c:pt idx="3">
                  <c:v>48.086878420219392</c:v>
                </c:pt>
                <c:pt idx="4">
                  <c:v>56.916228572835017</c:v>
                </c:pt>
                <c:pt idx="5">
                  <c:v>62.870925376514954</c:v>
                </c:pt>
                <c:pt idx="6">
                  <c:v>69.448615215975195</c:v>
                </c:pt>
                <c:pt idx="7">
                  <c:v>76.714476946735459</c:v>
                </c:pt>
                <c:pt idx="8">
                  <c:v>89.030282367137104</c:v>
                </c:pt>
                <c:pt idx="9">
                  <c:v>103.32327735057923</c:v>
                </c:pt>
                <c:pt idx="10">
                  <c:v>112.44941456764104</c:v>
                </c:pt>
                <c:pt idx="11">
                  <c:v>114.14758695115692</c:v>
                </c:pt>
                <c:pt idx="12">
                  <c:v>115.87140454994781</c:v>
                </c:pt>
                <c:pt idx="13">
                  <c:v>126.75749989224552</c:v>
                </c:pt>
                <c:pt idx="14">
                  <c:v>135.91530696306796</c:v>
                </c:pt>
                <c:pt idx="15">
                  <c:v>143.57840339782467</c:v>
                </c:pt>
                <c:pt idx="16">
                  <c:v>147.94437239824518</c:v>
                </c:pt>
                <c:pt idx="17">
                  <c:v>158.48426565557673</c:v>
                </c:pt>
                <c:pt idx="18">
                  <c:v>171.28159729640677</c:v>
                </c:pt>
                <c:pt idx="19">
                  <c:v>185.31447074552355</c:v>
                </c:pt>
                <c:pt idx="20">
                  <c:v>197.59979324635592</c:v>
                </c:pt>
                <c:pt idx="21">
                  <c:v>218.03597056086264</c:v>
                </c:pt>
                <c:pt idx="22">
                  <c:v>238.47332649178972</c:v>
                </c:pt>
                <c:pt idx="23">
                  <c:v>258.25285470021583</c:v>
                </c:pt>
                <c:pt idx="24">
                  <c:v>276.91076307521683</c:v>
                </c:pt>
                <c:pt idx="25">
                  <c:v>293.98125773226735</c:v>
                </c:pt>
                <c:pt idx="26">
                  <c:v>331.48652498945432</c:v>
                </c:pt>
                <c:pt idx="27">
                  <c:v>377.19014091559745</c:v>
                </c:pt>
                <c:pt idx="28">
                  <c:v>429.19513065713431</c:v>
                </c:pt>
                <c:pt idx="29">
                  <c:v>488.37029444259599</c:v>
                </c:pt>
                <c:pt idx="30">
                  <c:v>555.7042180995287</c:v>
                </c:pt>
                <c:pt idx="31">
                  <c:v>632.32178846190322</c:v>
                </c:pt>
                <c:pt idx="32">
                  <c:v>719.50298583490087</c:v>
                </c:pt>
                <c:pt idx="33">
                  <c:v>756.29846353423977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9540096"/>
        <c:axId val="89538560"/>
      </c:scatterChart>
      <c:valAx>
        <c:axId val="89540096"/>
        <c:scaling>
          <c:orientation val="minMax"/>
        </c:scaling>
        <c:delete val="0"/>
        <c:axPos val="b"/>
        <c:numFmt formatCode="0.0" sourceLinked="1"/>
        <c:majorTickMark val="out"/>
        <c:minorTickMark val="none"/>
        <c:tickLblPos val="nextTo"/>
        <c:crossAx val="89538560"/>
        <c:crosses val="autoZero"/>
        <c:crossBetween val="midCat"/>
      </c:valAx>
      <c:valAx>
        <c:axId val="89538560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8954009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'Proposed Streams'!$X$4</c:f>
              <c:strCache>
                <c:ptCount val="1"/>
                <c:pt idx="0">
                  <c:v>Max</c:v>
                </c:pt>
              </c:strCache>
            </c:strRef>
          </c:tx>
          <c:xVal>
            <c:numRef>
              <c:f>'Proposed Streams'!$W$5:$W$38</c:f>
              <c:numCache>
                <c:formatCode>0.0</c:formatCode>
                <c:ptCount val="34"/>
                <c:pt idx="0">
                  <c:v>1947</c:v>
                </c:pt>
                <c:pt idx="1">
                  <c:v>1950</c:v>
                </c:pt>
                <c:pt idx="2">
                  <c:v>1953</c:v>
                </c:pt>
                <c:pt idx="3">
                  <c:v>1956</c:v>
                </c:pt>
                <c:pt idx="4">
                  <c:v>1959</c:v>
                </c:pt>
                <c:pt idx="5">
                  <c:v>1962</c:v>
                </c:pt>
                <c:pt idx="6">
                  <c:v>1965</c:v>
                </c:pt>
                <c:pt idx="7">
                  <c:v>1968</c:v>
                </c:pt>
                <c:pt idx="8">
                  <c:v>1971</c:v>
                </c:pt>
                <c:pt idx="9">
                  <c:v>1974</c:v>
                </c:pt>
                <c:pt idx="10">
                  <c:v>1977</c:v>
                </c:pt>
                <c:pt idx="11">
                  <c:v>1980</c:v>
                </c:pt>
                <c:pt idx="12">
                  <c:v>1983</c:v>
                </c:pt>
                <c:pt idx="13">
                  <c:v>1986</c:v>
                </c:pt>
                <c:pt idx="14">
                  <c:v>1989</c:v>
                </c:pt>
                <c:pt idx="15">
                  <c:v>1992</c:v>
                </c:pt>
                <c:pt idx="16">
                  <c:v>1995</c:v>
                </c:pt>
                <c:pt idx="17">
                  <c:v>1998</c:v>
                </c:pt>
                <c:pt idx="18">
                  <c:v>2001</c:v>
                </c:pt>
                <c:pt idx="19">
                  <c:v>2004</c:v>
                </c:pt>
                <c:pt idx="20">
                  <c:v>2007</c:v>
                </c:pt>
                <c:pt idx="21">
                  <c:v>2010</c:v>
                </c:pt>
                <c:pt idx="22">
                  <c:v>2013</c:v>
                </c:pt>
                <c:pt idx="23">
                  <c:v>2016</c:v>
                </c:pt>
                <c:pt idx="24">
                  <c:v>2019</c:v>
                </c:pt>
                <c:pt idx="25">
                  <c:v>2022</c:v>
                </c:pt>
                <c:pt idx="26">
                  <c:v>2025</c:v>
                </c:pt>
                <c:pt idx="27">
                  <c:v>2028</c:v>
                </c:pt>
                <c:pt idx="28">
                  <c:v>2031</c:v>
                </c:pt>
                <c:pt idx="29">
                  <c:v>2034</c:v>
                </c:pt>
                <c:pt idx="30">
                  <c:v>2037</c:v>
                </c:pt>
                <c:pt idx="31">
                  <c:v>2040</c:v>
                </c:pt>
                <c:pt idx="32">
                  <c:v>2043</c:v>
                </c:pt>
                <c:pt idx="33">
                  <c:v>2046</c:v>
                </c:pt>
              </c:numCache>
            </c:numRef>
          </c:xVal>
          <c:yVal>
            <c:numRef>
              <c:f>'Proposed Streams'!$X$5:$X$38</c:f>
              <c:numCache>
                <c:formatCode>0</c:formatCode>
                <c:ptCount val="34"/>
                <c:pt idx="0">
                  <c:v>29</c:v>
                </c:pt>
                <c:pt idx="1">
                  <c:v>34.324761407639841</c:v>
                </c:pt>
                <c:pt idx="2">
                  <c:v>40.627215368669013</c:v>
                </c:pt>
                <c:pt idx="3">
                  <c:v>48.086878420219392</c:v>
                </c:pt>
                <c:pt idx="4">
                  <c:v>56.916228572835017</c:v>
                </c:pt>
                <c:pt idx="5">
                  <c:v>62.870925376514954</c:v>
                </c:pt>
                <c:pt idx="6">
                  <c:v>69.448615215975195</c:v>
                </c:pt>
                <c:pt idx="7">
                  <c:v>76.714476946735459</c:v>
                </c:pt>
                <c:pt idx="8">
                  <c:v>89.030282367137104</c:v>
                </c:pt>
                <c:pt idx="9">
                  <c:v>103.32327735057923</c:v>
                </c:pt>
                <c:pt idx="10">
                  <c:v>112.44941456764104</c:v>
                </c:pt>
                <c:pt idx="11">
                  <c:v>114.14758695115692</c:v>
                </c:pt>
                <c:pt idx="12">
                  <c:v>115.87140454994781</c:v>
                </c:pt>
                <c:pt idx="13">
                  <c:v>126.75749989224552</c:v>
                </c:pt>
                <c:pt idx="14">
                  <c:v>135.91530696306796</c:v>
                </c:pt>
                <c:pt idx="15">
                  <c:v>143.57840339782467</c:v>
                </c:pt>
                <c:pt idx="16">
                  <c:v>147.94437239824518</c:v>
                </c:pt>
                <c:pt idx="17">
                  <c:v>158.48426565557673</c:v>
                </c:pt>
                <c:pt idx="18">
                  <c:v>171.28159729640677</c:v>
                </c:pt>
                <c:pt idx="19">
                  <c:v>185.31447074552355</c:v>
                </c:pt>
                <c:pt idx="20">
                  <c:v>197.59979324635592</c:v>
                </c:pt>
                <c:pt idx="21">
                  <c:v>218.03597056086264</c:v>
                </c:pt>
                <c:pt idx="22">
                  <c:v>238.47332649178972</c:v>
                </c:pt>
                <c:pt idx="23">
                  <c:v>258.25285470021583</c:v>
                </c:pt>
                <c:pt idx="24">
                  <c:v>276.91076307521683</c:v>
                </c:pt>
                <c:pt idx="25">
                  <c:v>293.98125773226735</c:v>
                </c:pt>
                <c:pt idx="26">
                  <c:v>331.48652498945432</c:v>
                </c:pt>
                <c:pt idx="27">
                  <c:v>377.19014091559745</c:v>
                </c:pt>
                <c:pt idx="28">
                  <c:v>429.19513065713431</c:v>
                </c:pt>
                <c:pt idx="29">
                  <c:v>488.37029444259599</c:v>
                </c:pt>
                <c:pt idx="30">
                  <c:v>555.7042180995287</c:v>
                </c:pt>
                <c:pt idx="31">
                  <c:v>632.32178846190322</c:v>
                </c:pt>
                <c:pt idx="32">
                  <c:v>719.50298583490087</c:v>
                </c:pt>
                <c:pt idx="33">
                  <c:v>756.29846353423977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'Proposed Streams'!$Y$4</c:f>
              <c:strCache>
                <c:ptCount val="1"/>
                <c:pt idx="0">
                  <c:v>Treadline</c:v>
                </c:pt>
              </c:strCache>
            </c:strRef>
          </c:tx>
          <c:xVal>
            <c:numRef>
              <c:f>'Proposed Streams'!$W$5:$W$38</c:f>
              <c:numCache>
                <c:formatCode>0.0</c:formatCode>
                <c:ptCount val="34"/>
                <c:pt idx="0">
                  <c:v>1947</c:v>
                </c:pt>
                <c:pt idx="1">
                  <c:v>1950</c:v>
                </c:pt>
                <c:pt idx="2">
                  <c:v>1953</c:v>
                </c:pt>
                <c:pt idx="3">
                  <c:v>1956</c:v>
                </c:pt>
                <c:pt idx="4">
                  <c:v>1959</c:v>
                </c:pt>
                <c:pt idx="5">
                  <c:v>1962</c:v>
                </c:pt>
                <c:pt idx="6">
                  <c:v>1965</c:v>
                </c:pt>
                <c:pt idx="7">
                  <c:v>1968</c:v>
                </c:pt>
                <c:pt idx="8">
                  <c:v>1971</c:v>
                </c:pt>
                <c:pt idx="9">
                  <c:v>1974</c:v>
                </c:pt>
                <c:pt idx="10">
                  <c:v>1977</c:v>
                </c:pt>
                <c:pt idx="11">
                  <c:v>1980</c:v>
                </c:pt>
                <c:pt idx="12">
                  <c:v>1983</c:v>
                </c:pt>
                <c:pt idx="13">
                  <c:v>1986</c:v>
                </c:pt>
                <c:pt idx="14">
                  <c:v>1989</c:v>
                </c:pt>
                <c:pt idx="15">
                  <c:v>1992</c:v>
                </c:pt>
                <c:pt idx="16">
                  <c:v>1995</c:v>
                </c:pt>
                <c:pt idx="17">
                  <c:v>1998</c:v>
                </c:pt>
                <c:pt idx="18">
                  <c:v>2001</c:v>
                </c:pt>
                <c:pt idx="19">
                  <c:v>2004</c:v>
                </c:pt>
                <c:pt idx="20">
                  <c:v>2007</c:v>
                </c:pt>
                <c:pt idx="21">
                  <c:v>2010</c:v>
                </c:pt>
                <c:pt idx="22">
                  <c:v>2013</c:v>
                </c:pt>
                <c:pt idx="23">
                  <c:v>2016</c:v>
                </c:pt>
                <c:pt idx="24">
                  <c:v>2019</c:v>
                </c:pt>
                <c:pt idx="25">
                  <c:v>2022</c:v>
                </c:pt>
                <c:pt idx="26">
                  <c:v>2025</c:v>
                </c:pt>
                <c:pt idx="27">
                  <c:v>2028</c:v>
                </c:pt>
                <c:pt idx="28">
                  <c:v>2031</c:v>
                </c:pt>
                <c:pt idx="29">
                  <c:v>2034</c:v>
                </c:pt>
                <c:pt idx="30">
                  <c:v>2037</c:v>
                </c:pt>
                <c:pt idx="31">
                  <c:v>2040</c:v>
                </c:pt>
                <c:pt idx="32">
                  <c:v>2043</c:v>
                </c:pt>
                <c:pt idx="33">
                  <c:v>2046</c:v>
                </c:pt>
              </c:numCache>
            </c:numRef>
          </c:xVal>
          <c:yVal>
            <c:numRef>
              <c:f>'Proposed Streams'!$Y$5:$Y$38</c:f>
              <c:numCache>
                <c:formatCode>0</c:formatCode>
                <c:ptCount val="34"/>
                <c:pt idx="0">
                  <c:v>31.715007767453049</c:v>
                </c:pt>
                <c:pt idx="1">
                  <c:v>34.865576648405586</c:v>
                </c:pt>
                <c:pt idx="2">
                  <c:v>38.329123042919164</c:v>
                </c:pt>
                <c:pt idx="3">
                  <c:v>42.136738137283039</c:v>
                </c:pt>
                <c:pt idx="4">
                  <c:v>46.322601716241607</c:v>
                </c:pt>
                <c:pt idx="5">
                  <c:v>50.924288984365823</c:v>
                </c:pt>
                <c:pt idx="6">
                  <c:v>55.983107867059779</c:v>
                </c:pt>
                <c:pt idx="7">
                  <c:v>61.544469819049809</c:v>
                </c:pt>
                <c:pt idx="8">
                  <c:v>67.658297468986802</c:v>
                </c:pt>
                <c:pt idx="9">
                  <c:v>74.379472759467831</c:v>
                </c:pt>
                <c:pt idx="10">
                  <c:v>81.768329605283299</c:v>
                </c:pt>
                <c:pt idx="11">
                  <c:v>89.891195492336621</c:v>
                </c:pt>
                <c:pt idx="12">
                  <c:v>98.820986879000387</c:v>
                </c:pt>
                <c:pt idx="13">
                  <c:v>108.63786374464337</c:v>
                </c:pt>
                <c:pt idx="14">
                  <c:v>119.42994916100845</c:v>
                </c:pt>
                <c:pt idx="15">
                  <c:v>131.29412034581227</c:v>
                </c:pt>
                <c:pt idx="16">
                  <c:v>144.33687829960522</c:v>
                </c:pt>
                <c:pt idx="17">
                  <c:v>158.67530383236647</c:v>
                </c:pt>
                <c:pt idx="18">
                  <c:v>174.438108561772</c:v>
                </c:pt>
                <c:pt idx="19">
                  <c:v>191.7667903176357</c:v>
                </c:pt>
                <c:pt idx="20">
                  <c:v>210.81690332422673</c:v>
                </c:pt>
                <c:pt idx="21">
                  <c:v>231.75945456249897</c:v>
                </c:pt>
                <c:pt idx="22">
                  <c:v>254.78243884694461</c:v>
                </c:pt>
                <c:pt idx="23">
                  <c:v>280.09252639698275</c:v>
                </c:pt>
                <c:pt idx="24">
                  <c:v>307.91691805169262</c:v>
                </c:pt>
                <c:pt idx="25">
                  <c:v>338.50538478156795</c:v>
                </c:pt>
                <c:pt idx="26">
                  <c:v>372.13250980539129</c:v>
                </c:pt>
                <c:pt idx="27">
                  <c:v>409.10015343897771</c:v>
                </c:pt>
                <c:pt idx="28">
                  <c:v>449.74016280200743</c:v>
                </c:pt>
                <c:pt idx="29">
                  <c:v>494.41735070711417</c:v>
                </c:pt>
                <c:pt idx="30">
                  <c:v>543.53277047187021</c:v>
                </c:pt>
                <c:pt idx="31">
                  <c:v>597.5273160505036</c:v>
                </c:pt>
                <c:pt idx="32">
                  <c:v>656.885679802818</c:v>
                </c:pt>
                <c:pt idx="33">
                  <c:v>722.14070342774676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6730752"/>
        <c:axId val="186729216"/>
      </c:scatterChart>
      <c:valAx>
        <c:axId val="186730752"/>
        <c:scaling>
          <c:orientation val="minMax"/>
        </c:scaling>
        <c:delete val="0"/>
        <c:axPos val="b"/>
        <c:numFmt formatCode="0.0" sourceLinked="1"/>
        <c:majorTickMark val="out"/>
        <c:minorTickMark val="none"/>
        <c:tickLblPos val="nextTo"/>
        <c:crossAx val="186729216"/>
        <c:crosses val="autoZero"/>
        <c:crossBetween val="midCat"/>
      </c:valAx>
      <c:valAx>
        <c:axId val="186729216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186730752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6.png"/><Relationship Id="rId18" Type="http://schemas.openxmlformats.org/officeDocument/2006/relationships/hyperlink" Target="http://wiki.openttd.org/File:Dash.pn" TargetMode="External"/><Relationship Id="rId26" Type="http://schemas.openxmlformats.org/officeDocument/2006/relationships/hyperlink" Target="http://wiki.openttd.org/File:Sh125.pn" TargetMode="External"/><Relationship Id="rId39" Type="http://schemas.openxmlformats.org/officeDocument/2006/relationships/image" Target="../media/image19.png"/><Relationship Id="rId21" Type="http://schemas.openxmlformats.org/officeDocument/2006/relationships/image" Target="../media/image10.png"/><Relationship Id="rId34" Type="http://schemas.openxmlformats.org/officeDocument/2006/relationships/hyperlink" Target="http://wiki.openttd.org/File:Cs4000.pn" TargetMode="External"/><Relationship Id="rId42" Type="http://schemas.openxmlformats.org/officeDocument/2006/relationships/hyperlink" Target="http://wiki.openttd.org/File:Ploddyphutdiesel.pn" TargetMode="External"/><Relationship Id="rId47" Type="http://schemas.openxmlformats.org/officeDocument/2006/relationships/image" Target="../media/image23.png"/><Relationship Id="rId50" Type="http://schemas.openxmlformats.org/officeDocument/2006/relationships/image" Target="../media/image24.png"/><Relationship Id="rId55" Type="http://schemas.openxmlformats.org/officeDocument/2006/relationships/hyperlink" Target="http://wiki.openttd.org/File:Millenniumz1.pn" TargetMode="External"/><Relationship Id="rId63" Type="http://schemas.openxmlformats.org/officeDocument/2006/relationships/hyperlink" Target="http://wiki.openttd.org/File:Lev3pegasus.pn" TargetMode="External"/><Relationship Id="rId68" Type="http://schemas.openxmlformats.org/officeDocument/2006/relationships/image" Target="../media/image33.png"/><Relationship Id="rId7" Type="http://schemas.openxmlformats.org/officeDocument/2006/relationships/hyperlink" Target="http://wiki.openttd.org/File:Sh8p.pn" TargetMode="External"/><Relationship Id="rId2" Type="http://schemas.openxmlformats.org/officeDocument/2006/relationships/image" Target="../media/image1.png"/><Relationship Id="rId16" Type="http://schemas.openxmlformats.org/officeDocument/2006/relationships/hyperlink" Target="http://wiki.openttd.org/File:Manleymoreldmu.pn" TargetMode="External"/><Relationship Id="rId29" Type="http://schemas.openxmlformats.org/officeDocument/2006/relationships/image" Target="../media/image14.png"/><Relationship Id="rId1" Type="http://schemas.openxmlformats.org/officeDocument/2006/relationships/hyperlink" Target="http://wiki.openttd.org/File:Kirbypaultank.pn" TargetMode="External"/><Relationship Id="rId6" Type="http://schemas.openxmlformats.org/officeDocument/2006/relationships/image" Target="../media/image3.png"/><Relationship Id="rId11" Type="http://schemas.openxmlformats.org/officeDocument/2006/relationships/image" Target="../media/image5.png"/><Relationship Id="rId24" Type="http://schemas.openxmlformats.org/officeDocument/2006/relationships/hyperlink" Target="http://wiki.openttd.org/File:Floss47.pn" TargetMode="External"/><Relationship Id="rId32" Type="http://schemas.openxmlformats.org/officeDocument/2006/relationships/hyperlink" Target="http://wiki.openttd.org/File:Centennial.pn" TargetMode="External"/><Relationship Id="rId37" Type="http://schemas.openxmlformats.org/officeDocument/2006/relationships/image" Target="../media/image18.png"/><Relationship Id="rId40" Type="http://schemas.openxmlformats.org/officeDocument/2006/relationships/hyperlink" Target="http://wiki.openttd.org/File:Turnerturbo.pn" TargetMode="External"/><Relationship Id="rId45" Type="http://schemas.openxmlformats.org/officeDocument/2006/relationships/image" Target="../media/image22.png"/><Relationship Id="rId53" Type="http://schemas.openxmlformats.org/officeDocument/2006/relationships/hyperlink" Target="http://wiki.openttd.org/File:X2001.pn" TargetMode="External"/><Relationship Id="rId58" Type="http://schemas.openxmlformats.org/officeDocument/2006/relationships/image" Target="../media/image28.png"/><Relationship Id="rId66" Type="http://schemas.openxmlformats.org/officeDocument/2006/relationships/image" Target="../media/image32.png"/><Relationship Id="rId5" Type="http://schemas.openxmlformats.org/officeDocument/2006/relationships/hyperlink" Target="http://wiki.openttd.org/File:Ginzua4.pn" TargetMode="External"/><Relationship Id="rId15" Type="http://schemas.openxmlformats.org/officeDocument/2006/relationships/image" Target="../media/image7.png"/><Relationship Id="rId23" Type="http://schemas.openxmlformats.org/officeDocument/2006/relationships/image" Target="../media/image11.png"/><Relationship Id="rId28" Type="http://schemas.openxmlformats.org/officeDocument/2006/relationships/hyperlink" Target="http://wiki.openttd.org/File:Mjs250.pn" TargetMode="External"/><Relationship Id="rId36" Type="http://schemas.openxmlformats.org/officeDocument/2006/relationships/hyperlink" Target="http://wiki.openttd.org/File:Cs2400.pn" TargetMode="External"/><Relationship Id="rId49" Type="http://schemas.openxmlformats.org/officeDocument/2006/relationships/hyperlink" Target="http://wiki.openttd.org/File:Tim.pn" TargetMode="External"/><Relationship Id="rId57" Type="http://schemas.openxmlformats.org/officeDocument/2006/relationships/hyperlink" Target="http://wiki.openttd.org/File:Wizzowowz99.pn" TargetMode="External"/><Relationship Id="rId61" Type="http://schemas.openxmlformats.org/officeDocument/2006/relationships/hyperlink" Target="http://wiki.openttd.org/File:Lev2cyclops.pn" TargetMode="External"/><Relationship Id="rId10" Type="http://schemas.openxmlformats.org/officeDocument/2006/relationships/hyperlink" Target="http://wiki.openttd.org/File:Ploddyphutchoochoo.pn" TargetMode="External"/><Relationship Id="rId19" Type="http://schemas.openxmlformats.org/officeDocument/2006/relationships/image" Target="../media/image9.png"/><Relationship Id="rId31" Type="http://schemas.openxmlformats.org/officeDocument/2006/relationships/image" Target="../media/image15.png"/><Relationship Id="rId44" Type="http://schemas.openxmlformats.org/officeDocument/2006/relationships/hyperlink" Target="http://wiki.openttd.org/File:Powernautdiesel.pn" TargetMode="External"/><Relationship Id="rId52" Type="http://schemas.openxmlformats.org/officeDocument/2006/relationships/image" Target="../media/image25.png"/><Relationship Id="rId60" Type="http://schemas.openxmlformats.org/officeDocument/2006/relationships/image" Target="../media/image29.png"/><Relationship Id="rId65" Type="http://schemas.openxmlformats.org/officeDocument/2006/relationships/hyperlink" Target="http://wiki.openttd.org/File:Lev4chimaerarhead.pn" TargetMode="External"/><Relationship Id="rId4" Type="http://schemas.openxmlformats.org/officeDocument/2006/relationships/image" Target="../media/image2.png"/><Relationship Id="rId9" Type="http://schemas.openxmlformats.org/officeDocument/2006/relationships/image" Target="../media/image4.png"/><Relationship Id="rId14" Type="http://schemas.openxmlformats.org/officeDocument/2006/relationships/hyperlink" Target="http://wiki.openttd.org/File:Mightymoverchoochoo.pn" TargetMode="External"/><Relationship Id="rId22" Type="http://schemas.openxmlformats.org/officeDocument/2006/relationships/hyperlink" Target="http://wiki.openttd.org/File:Uu37.pn" TargetMode="External"/><Relationship Id="rId27" Type="http://schemas.openxmlformats.org/officeDocument/2006/relationships/image" Target="../media/image13.png"/><Relationship Id="rId30" Type="http://schemas.openxmlformats.org/officeDocument/2006/relationships/hyperlink" Target="http://wiki.openttd.org/File:Kelling3100.pn" TargetMode="External"/><Relationship Id="rId35" Type="http://schemas.openxmlformats.org/officeDocument/2006/relationships/image" Target="../media/image17.png"/><Relationship Id="rId43" Type="http://schemas.openxmlformats.org/officeDocument/2006/relationships/image" Target="../media/image21.png"/><Relationship Id="rId48" Type="http://schemas.openxmlformats.org/officeDocument/2006/relationships/hyperlink" Target="http://wiki.openttd.org/File:Sh40.pn" TargetMode="External"/><Relationship Id="rId56" Type="http://schemas.openxmlformats.org/officeDocument/2006/relationships/image" Target="../media/image27.png"/><Relationship Id="rId64" Type="http://schemas.openxmlformats.org/officeDocument/2006/relationships/image" Target="../media/image31.png"/><Relationship Id="rId8" Type="http://schemas.openxmlformats.org/officeDocument/2006/relationships/hyperlink" Target="http://wiki.openttd.org/File:Wills280.pn" TargetMode="External"/><Relationship Id="rId51" Type="http://schemas.openxmlformats.org/officeDocument/2006/relationships/hyperlink" Target="http://wiki.openttd.org/File:Asiastar.pn" TargetMode="External"/><Relationship Id="rId3" Type="http://schemas.openxmlformats.org/officeDocument/2006/relationships/hyperlink" Target="http://wiki.openttd.org/File:Chaneyjubilee.pn" TargetMode="External"/><Relationship Id="rId12" Type="http://schemas.openxmlformats.org/officeDocument/2006/relationships/hyperlink" Target="http://wiki.openttd.org/File:Powernautchoochoo.pn" TargetMode="External"/><Relationship Id="rId17" Type="http://schemas.openxmlformats.org/officeDocument/2006/relationships/image" Target="../media/image8.png"/><Relationship Id="rId25" Type="http://schemas.openxmlformats.org/officeDocument/2006/relationships/image" Target="../media/image12.png"/><Relationship Id="rId33" Type="http://schemas.openxmlformats.org/officeDocument/2006/relationships/image" Target="../media/image16.png"/><Relationship Id="rId38" Type="http://schemas.openxmlformats.org/officeDocument/2006/relationships/hyperlink" Target="http://wiki.openttd.org/File:Mjs1000.pn" TargetMode="External"/><Relationship Id="rId46" Type="http://schemas.openxmlformats.org/officeDocument/2006/relationships/hyperlink" Target="http://wiki.openttd.org/File:Sh30.pn" TargetMode="External"/><Relationship Id="rId59" Type="http://schemas.openxmlformats.org/officeDocument/2006/relationships/hyperlink" Target="http://wiki.openttd.org/File:Lev1leviathan.pn" TargetMode="External"/><Relationship Id="rId67" Type="http://schemas.openxmlformats.org/officeDocument/2006/relationships/hyperlink" Target="http://wiki.openttd.org/File:Wizzowowrocketeer.pn" TargetMode="External"/><Relationship Id="rId20" Type="http://schemas.openxmlformats.org/officeDocument/2006/relationships/hyperlink" Target="http://wiki.openttd.org/File:Shhendry25.pn" TargetMode="External"/><Relationship Id="rId41" Type="http://schemas.openxmlformats.org/officeDocument/2006/relationships/image" Target="../media/image20.png"/><Relationship Id="rId54" Type="http://schemas.openxmlformats.org/officeDocument/2006/relationships/image" Target="../media/image26.png"/><Relationship Id="rId62" Type="http://schemas.openxmlformats.org/officeDocument/2006/relationships/image" Target="../media/image30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4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</xdr:col>
      <xdr:colOff>257175</xdr:colOff>
      <xdr:row>2</xdr:row>
      <xdr:rowOff>114300</xdr:rowOff>
    </xdr:to>
    <xdr:pic>
      <xdr:nvPicPr>
        <xdr:cNvPr id="2" name="Picture 1" descr="Kirby Paul Tank Engine">
          <a:hlinkClick xmlns:r="http://schemas.openxmlformats.org/officeDocument/2006/relationships" r:id="rId1" tooltip="Kirby Paul Tank Engin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895350"/>
          <a:ext cx="2571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266700</xdr:colOff>
      <xdr:row>3</xdr:row>
      <xdr:rowOff>114300</xdr:rowOff>
    </xdr:to>
    <xdr:pic>
      <xdr:nvPicPr>
        <xdr:cNvPr id="3" name="Picture 2" descr="Chaney &quot;Jubilee&quot; Engine">
          <a:hlinkClick xmlns:r="http://schemas.openxmlformats.org/officeDocument/2006/relationships" r:id="rId3" tooltip="Chaney &quot;Jubilee&quot; Engin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038350"/>
          <a:ext cx="2667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266700</xdr:colOff>
      <xdr:row>4</xdr:row>
      <xdr:rowOff>114300</xdr:rowOff>
    </xdr:to>
    <xdr:pic>
      <xdr:nvPicPr>
        <xdr:cNvPr id="4" name="Picture 3" descr="Ginzu &quot;A4&quot; Engine">
          <a:hlinkClick xmlns:r="http://schemas.openxmlformats.org/officeDocument/2006/relationships" r:id="rId5" tooltip="Ginzu &quot;A4&quot; Engin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990850"/>
          <a:ext cx="2667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266700</xdr:colOff>
      <xdr:row>5</xdr:row>
      <xdr:rowOff>114300</xdr:rowOff>
    </xdr:to>
    <xdr:pic>
      <xdr:nvPicPr>
        <xdr:cNvPr id="5" name="Picture 4" descr="SH &quot;8P&quot; Engine">
          <a:hlinkClick xmlns:r="http://schemas.openxmlformats.org/officeDocument/2006/relationships" r:id="rId7" tooltip="SH &quot;8P&quot; Engin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752850"/>
          <a:ext cx="2667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266700</xdr:colOff>
      <xdr:row>6</xdr:row>
      <xdr:rowOff>114300</xdr:rowOff>
    </xdr:to>
    <xdr:pic>
      <xdr:nvPicPr>
        <xdr:cNvPr id="6" name="Picture 5" descr="Wills 2-8-0 Engine">
          <a:hlinkClick xmlns:r="http://schemas.openxmlformats.org/officeDocument/2006/relationships" r:id="rId8" tooltip="Wills 2-8-0 Engin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4133850"/>
          <a:ext cx="2667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266700</xdr:colOff>
      <xdr:row>7</xdr:row>
      <xdr:rowOff>114300</xdr:rowOff>
    </xdr:to>
    <xdr:pic>
      <xdr:nvPicPr>
        <xdr:cNvPr id="7" name="Picture 6" descr="Ploddyphut Choo-Choo Engine">
          <a:hlinkClick xmlns:r="http://schemas.openxmlformats.org/officeDocument/2006/relationships" r:id="rId10" tooltip="Ploddyphut Choo-Choo Engin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4514850"/>
          <a:ext cx="2667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266700</xdr:colOff>
      <xdr:row>8</xdr:row>
      <xdr:rowOff>114300</xdr:rowOff>
    </xdr:to>
    <xdr:pic>
      <xdr:nvPicPr>
        <xdr:cNvPr id="8" name="Picture 7" descr="Powernaut Choo-Choo Engine">
          <a:hlinkClick xmlns:r="http://schemas.openxmlformats.org/officeDocument/2006/relationships" r:id="rId12" tooltip="Powernaut Choo-Choo Engin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5086350"/>
          <a:ext cx="2667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266700</xdr:colOff>
      <xdr:row>9</xdr:row>
      <xdr:rowOff>114300</xdr:rowOff>
    </xdr:to>
    <xdr:pic>
      <xdr:nvPicPr>
        <xdr:cNvPr id="9" name="Picture 8" descr="Might Mover Choo-Choo Engine">
          <a:hlinkClick xmlns:r="http://schemas.openxmlformats.org/officeDocument/2006/relationships" r:id="rId14" tooltip="Might Mover Choo-Choo Engin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5657850"/>
          <a:ext cx="2667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266700</xdr:colOff>
      <xdr:row>11</xdr:row>
      <xdr:rowOff>114300</xdr:rowOff>
    </xdr:to>
    <xdr:pic>
      <xdr:nvPicPr>
        <xdr:cNvPr id="10" name="Picture 9" descr="Manley-Morel DMU Engine">
          <a:hlinkClick xmlns:r="http://schemas.openxmlformats.org/officeDocument/2006/relationships" r:id="rId16" tooltip="Manley-Morel DMU Engin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6610350"/>
          <a:ext cx="2667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266700</xdr:colOff>
      <xdr:row>12</xdr:row>
      <xdr:rowOff>114300</xdr:rowOff>
    </xdr:to>
    <xdr:pic>
      <xdr:nvPicPr>
        <xdr:cNvPr id="11" name="Picture 10" descr="&quot;Dash&quot; Engine">
          <a:hlinkClick xmlns:r="http://schemas.openxmlformats.org/officeDocument/2006/relationships" r:id="rId18" tooltip="&quot;Dash&quot; Engin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6991350"/>
          <a:ext cx="2667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266700</xdr:colOff>
      <xdr:row>13</xdr:row>
      <xdr:rowOff>114300</xdr:rowOff>
    </xdr:to>
    <xdr:pic>
      <xdr:nvPicPr>
        <xdr:cNvPr id="12" name="Picture 11" descr="SH/Hendry &quot;25&quot; Engine">
          <a:hlinkClick xmlns:r="http://schemas.openxmlformats.org/officeDocument/2006/relationships" r:id="rId20" tooltip="SH/Hendry &quot;25&quot; Engin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7372350"/>
          <a:ext cx="2667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266700</xdr:colOff>
      <xdr:row>14</xdr:row>
      <xdr:rowOff>114300</xdr:rowOff>
    </xdr:to>
    <xdr:pic>
      <xdr:nvPicPr>
        <xdr:cNvPr id="13" name="Picture 12" descr="UU &quot;37&quot; Engine">
          <a:hlinkClick xmlns:r="http://schemas.openxmlformats.org/officeDocument/2006/relationships" r:id="rId22" tooltip="UU &quot;37&quot; Engin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7753350"/>
          <a:ext cx="2667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266700</xdr:colOff>
      <xdr:row>15</xdr:row>
      <xdr:rowOff>114300</xdr:rowOff>
    </xdr:to>
    <xdr:pic>
      <xdr:nvPicPr>
        <xdr:cNvPr id="14" name="Picture 13" descr="Floss &quot;47&quot; Engine">
          <a:hlinkClick xmlns:r="http://schemas.openxmlformats.org/officeDocument/2006/relationships" r:id="rId24" tooltip="Floss &quot;47&quot; Engin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8134350"/>
          <a:ext cx="2667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266700</xdr:colOff>
      <xdr:row>16</xdr:row>
      <xdr:rowOff>114300</xdr:rowOff>
    </xdr:to>
    <xdr:pic>
      <xdr:nvPicPr>
        <xdr:cNvPr id="15" name="Picture 14" descr="SH &quot;125&quot; Engine">
          <a:hlinkClick xmlns:r="http://schemas.openxmlformats.org/officeDocument/2006/relationships" r:id="rId26" tooltip="SH &quot;125&quot; Engin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8515350"/>
          <a:ext cx="2667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266700</xdr:colOff>
      <xdr:row>17</xdr:row>
      <xdr:rowOff>114300</xdr:rowOff>
    </xdr:to>
    <xdr:pic>
      <xdr:nvPicPr>
        <xdr:cNvPr id="16" name="Picture 15" descr="MJS 250 Engine">
          <a:hlinkClick xmlns:r="http://schemas.openxmlformats.org/officeDocument/2006/relationships" r:id="rId28" tooltip="MJS 250 Engin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8896350"/>
          <a:ext cx="2667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266700</xdr:colOff>
      <xdr:row>18</xdr:row>
      <xdr:rowOff>114300</xdr:rowOff>
    </xdr:to>
    <xdr:pic>
      <xdr:nvPicPr>
        <xdr:cNvPr id="17" name="Picture 16" descr="Kelling 3100 Engine">
          <a:hlinkClick xmlns:r="http://schemas.openxmlformats.org/officeDocument/2006/relationships" r:id="rId30" tooltip="Kelling 3100 Engin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9277350"/>
          <a:ext cx="2667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266700</xdr:colOff>
      <xdr:row>19</xdr:row>
      <xdr:rowOff>114300</xdr:rowOff>
    </xdr:to>
    <xdr:pic>
      <xdr:nvPicPr>
        <xdr:cNvPr id="18" name="Picture 17" descr="Centennial Engine">
          <a:hlinkClick xmlns:r="http://schemas.openxmlformats.org/officeDocument/2006/relationships" r:id="rId32" tooltip="Centennial Engin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9658350"/>
          <a:ext cx="2667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266700</xdr:colOff>
      <xdr:row>20</xdr:row>
      <xdr:rowOff>114300</xdr:rowOff>
    </xdr:to>
    <xdr:pic>
      <xdr:nvPicPr>
        <xdr:cNvPr id="19" name="Picture 18" descr="CS4000 Engine">
          <a:hlinkClick xmlns:r="http://schemas.openxmlformats.org/officeDocument/2006/relationships" r:id="rId34" tooltip="CS4000 Engin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0039350"/>
          <a:ext cx="2667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266700</xdr:colOff>
      <xdr:row>21</xdr:row>
      <xdr:rowOff>114300</xdr:rowOff>
    </xdr:to>
    <xdr:pic>
      <xdr:nvPicPr>
        <xdr:cNvPr id="20" name="Picture 19" descr="CS2400 Engine">
          <a:hlinkClick xmlns:r="http://schemas.openxmlformats.org/officeDocument/2006/relationships" r:id="rId36" tooltip="CS2400 Engin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0420350"/>
          <a:ext cx="2667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266700</xdr:colOff>
      <xdr:row>22</xdr:row>
      <xdr:rowOff>114300</xdr:rowOff>
    </xdr:to>
    <xdr:pic>
      <xdr:nvPicPr>
        <xdr:cNvPr id="21" name="Picture 20" descr="MJS 1000 Engine">
          <a:hlinkClick xmlns:r="http://schemas.openxmlformats.org/officeDocument/2006/relationships" r:id="rId38" tooltip="MJS 1000 Engin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0801350"/>
          <a:ext cx="2667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266700</xdr:colOff>
      <xdr:row>23</xdr:row>
      <xdr:rowOff>114300</xdr:rowOff>
    </xdr:to>
    <xdr:pic>
      <xdr:nvPicPr>
        <xdr:cNvPr id="22" name="Picture 21" descr="Turner Turbo">
          <a:hlinkClick xmlns:r="http://schemas.openxmlformats.org/officeDocument/2006/relationships" r:id="rId40" tooltip="Turner Turbo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1182350"/>
          <a:ext cx="2667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266700</xdr:colOff>
      <xdr:row>24</xdr:row>
      <xdr:rowOff>114300</xdr:rowOff>
    </xdr:to>
    <xdr:pic>
      <xdr:nvPicPr>
        <xdr:cNvPr id="23" name="Picture 22" descr="Ploddyphut Diesel">
          <a:hlinkClick xmlns:r="http://schemas.openxmlformats.org/officeDocument/2006/relationships" r:id="rId42" tooltip="Ploddyphut Diese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1563350"/>
          <a:ext cx="2667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266700</xdr:colOff>
      <xdr:row>25</xdr:row>
      <xdr:rowOff>114300</xdr:rowOff>
    </xdr:to>
    <xdr:pic>
      <xdr:nvPicPr>
        <xdr:cNvPr id="24" name="Picture 23" descr="Powernaut Diesel">
          <a:hlinkClick xmlns:r="http://schemas.openxmlformats.org/officeDocument/2006/relationships" r:id="rId44" tooltip="Powernaut Diese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1944350"/>
          <a:ext cx="2667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266700</xdr:colOff>
      <xdr:row>27</xdr:row>
      <xdr:rowOff>114300</xdr:rowOff>
    </xdr:to>
    <xdr:pic>
      <xdr:nvPicPr>
        <xdr:cNvPr id="25" name="Picture 24" descr="SH &quot;30&quot; Engine">
          <a:hlinkClick xmlns:r="http://schemas.openxmlformats.org/officeDocument/2006/relationships" r:id="rId46" tooltip="SH &quot;30&quot; Engin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2515850"/>
          <a:ext cx="2667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266700</xdr:colOff>
      <xdr:row>28</xdr:row>
      <xdr:rowOff>114300</xdr:rowOff>
    </xdr:to>
    <xdr:pic>
      <xdr:nvPicPr>
        <xdr:cNvPr id="26" name="Picture 25" descr="SH &quot;40&quot; Engine">
          <a:hlinkClick xmlns:r="http://schemas.openxmlformats.org/officeDocument/2006/relationships" r:id="rId48" tooltip="SH &quot;40&quot; Engin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2896850"/>
          <a:ext cx="2667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266700</xdr:colOff>
      <xdr:row>29</xdr:row>
      <xdr:rowOff>114300</xdr:rowOff>
    </xdr:to>
    <xdr:pic>
      <xdr:nvPicPr>
        <xdr:cNvPr id="27" name="Picture 26" descr="&quot;T.I.M.&quot; Engine">
          <a:hlinkClick xmlns:r="http://schemas.openxmlformats.org/officeDocument/2006/relationships" r:id="rId49" tooltip="&quot;T.I.M.&quot; Engin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3277850"/>
          <a:ext cx="2667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266700</xdr:colOff>
      <xdr:row>30</xdr:row>
      <xdr:rowOff>114300</xdr:rowOff>
    </xdr:to>
    <xdr:pic>
      <xdr:nvPicPr>
        <xdr:cNvPr id="28" name="Picture 27" descr="&quot;Asiastar&quot; Engine">
          <a:hlinkClick xmlns:r="http://schemas.openxmlformats.org/officeDocument/2006/relationships" r:id="rId51" tooltip="&quot;Asiastar&quot; Engin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3658850"/>
          <a:ext cx="2667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266700</xdr:colOff>
      <xdr:row>32</xdr:row>
      <xdr:rowOff>114300</xdr:rowOff>
    </xdr:to>
    <xdr:pic>
      <xdr:nvPicPr>
        <xdr:cNvPr id="29" name="Picture 28" descr="X2001 Monorail Engine">
          <a:hlinkClick xmlns:r="http://schemas.openxmlformats.org/officeDocument/2006/relationships" r:id="rId53" tooltip="X2001 Monorail Engin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4230350"/>
          <a:ext cx="2667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266700</xdr:colOff>
      <xdr:row>33</xdr:row>
      <xdr:rowOff>114300</xdr:rowOff>
    </xdr:to>
    <xdr:pic>
      <xdr:nvPicPr>
        <xdr:cNvPr id="30" name="Picture 29" descr="Milennium 'Z1' Monorail Engine">
          <a:hlinkClick xmlns:r="http://schemas.openxmlformats.org/officeDocument/2006/relationships" r:id="rId55" tooltip="Milennium 'Z1' Monorail Engin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4611350"/>
          <a:ext cx="2667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266700</xdr:colOff>
      <xdr:row>34</xdr:row>
      <xdr:rowOff>114300</xdr:rowOff>
    </xdr:to>
    <xdr:pic>
      <xdr:nvPicPr>
        <xdr:cNvPr id="31" name="Picture 30" descr="Wizzowow 'Z99' Monorail Engine">
          <a:hlinkClick xmlns:r="http://schemas.openxmlformats.org/officeDocument/2006/relationships" r:id="rId57" tooltip="Wizzowow 'Z99' Monorail Engin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4992350"/>
          <a:ext cx="2667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266700</xdr:colOff>
      <xdr:row>36</xdr:row>
      <xdr:rowOff>114300</xdr:rowOff>
    </xdr:to>
    <xdr:pic>
      <xdr:nvPicPr>
        <xdr:cNvPr id="32" name="Picture 31" descr="MagLev Engine 1: Leviathan">
          <a:hlinkClick xmlns:r="http://schemas.openxmlformats.org/officeDocument/2006/relationships" r:id="rId59" tooltip="MagLev Engine 1: Leviathan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5563850"/>
          <a:ext cx="2667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266700</xdr:colOff>
      <xdr:row>37</xdr:row>
      <xdr:rowOff>114300</xdr:rowOff>
    </xdr:to>
    <xdr:pic>
      <xdr:nvPicPr>
        <xdr:cNvPr id="33" name="Picture 32" descr="MagLev Engine 2: Cyclops">
          <a:hlinkClick xmlns:r="http://schemas.openxmlformats.org/officeDocument/2006/relationships" r:id="rId61" tooltip="MagLev Engine 2: Cyclop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5944850"/>
          <a:ext cx="2667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266700</xdr:colOff>
      <xdr:row>38</xdr:row>
      <xdr:rowOff>104775</xdr:rowOff>
    </xdr:to>
    <xdr:pic>
      <xdr:nvPicPr>
        <xdr:cNvPr id="34" name="Picture 33" descr="MagLev Engine 3: Pegasus">
          <a:hlinkClick xmlns:r="http://schemas.openxmlformats.org/officeDocument/2006/relationships" r:id="rId63" tooltip="MagLev Engine 3: Pegasu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6325850"/>
          <a:ext cx="266700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39</xdr:row>
      <xdr:rowOff>0</xdr:rowOff>
    </xdr:from>
    <xdr:to>
      <xdr:col>1</xdr:col>
      <xdr:colOff>266700</xdr:colOff>
      <xdr:row>39</xdr:row>
      <xdr:rowOff>114300</xdr:rowOff>
    </xdr:to>
    <xdr:pic>
      <xdr:nvPicPr>
        <xdr:cNvPr id="35" name="Picture 34" descr="MagLev Engine 4: Chimaera (front)">
          <a:hlinkClick xmlns:r="http://schemas.openxmlformats.org/officeDocument/2006/relationships" r:id="rId65" tooltip="MagLev Engine 4: Chimaera (front)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6706850"/>
          <a:ext cx="2667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266700</xdr:colOff>
      <xdr:row>40</xdr:row>
      <xdr:rowOff>114300</xdr:rowOff>
    </xdr:to>
    <xdr:pic>
      <xdr:nvPicPr>
        <xdr:cNvPr id="36" name="Picture 35" descr="Toyland Wizzowow Rocketeer">
          <a:hlinkClick xmlns:r="http://schemas.openxmlformats.org/officeDocument/2006/relationships" r:id="rId67" tooltip="Toyland Wizzowow Rocketeer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6897350"/>
          <a:ext cx="2667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180974</xdr:colOff>
      <xdr:row>3</xdr:row>
      <xdr:rowOff>119061</xdr:rowOff>
    </xdr:from>
    <xdr:to>
      <xdr:col>42</xdr:col>
      <xdr:colOff>380999</xdr:colOff>
      <xdr:row>41</xdr:row>
      <xdr:rowOff>104774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180974</xdr:colOff>
      <xdr:row>3</xdr:row>
      <xdr:rowOff>4762</xdr:rowOff>
    </xdr:from>
    <xdr:to>
      <xdr:col>40</xdr:col>
      <xdr:colOff>266699</xdr:colOff>
      <xdr:row>36</xdr:row>
      <xdr:rowOff>38100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41</xdr:col>
      <xdr:colOff>0</xdr:colOff>
      <xdr:row>2</xdr:row>
      <xdr:rowOff>0</xdr:rowOff>
    </xdr:from>
    <xdr:to>
      <xdr:col>54</xdr:col>
      <xdr:colOff>85725</xdr:colOff>
      <xdr:row>35</xdr:row>
      <xdr:rowOff>33338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27</xdr:col>
      <xdr:colOff>228600</xdr:colOff>
      <xdr:row>37</xdr:row>
      <xdr:rowOff>100012</xdr:rowOff>
    </xdr:from>
    <xdr:to>
      <xdr:col>40</xdr:col>
      <xdr:colOff>228600</xdr:colOff>
      <xdr:row>61</xdr:row>
      <xdr:rowOff>76200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485775</xdr:colOff>
      <xdr:row>3</xdr:row>
      <xdr:rowOff>4762</xdr:rowOff>
    </xdr:from>
    <xdr:to>
      <xdr:col>20</xdr:col>
      <xdr:colOff>180975</xdr:colOff>
      <xdr:row>37</xdr:row>
      <xdr:rowOff>152400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iki.openttd.org/TSRY" TargetMode="External"/><Relationship Id="rId13" Type="http://schemas.openxmlformats.org/officeDocument/2006/relationships/hyperlink" Target="http://wiki.openttd.org/TSRY" TargetMode="External"/><Relationship Id="rId18" Type="http://schemas.openxmlformats.org/officeDocument/2006/relationships/hyperlink" Target="http://wiki.openttd.org/TSRY" TargetMode="External"/><Relationship Id="rId26" Type="http://schemas.openxmlformats.org/officeDocument/2006/relationships/hyperlink" Target="http://wiki.openttd.org/TSRY" TargetMode="External"/><Relationship Id="rId3" Type="http://schemas.openxmlformats.org/officeDocument/2006/relationships/hyperlink" Target="http://wiki.openttd.org/TSRY" TargetMode="External"/><Relationship Id="rId21" Type="http://schemas.openxmlformats.org/officeDocument/2006/relationships/hyperlink" Target="http://wiki.openttd.org/TSRY" TargetMode="External"/><Relationship Id="rId34" Type="http://schemas.openxmlformats.org/officeDocument/2006/relationships/hyperlink" Target="http://wiki.openttd.org/TSRY" TargetMode="External"/><Relationship Id="rId7" Type="http://schemas.openxmlformats.org/officeDocument/2006/relationships/hyperlink" Target="http://wiki.openttd.org/TSRY" TargetMode="External"/><Relationship Id="rId12" Type="http://schemas.openxmlformats.org/officeDocument/2006/relationships/hyperlink" Target="http://wiki.openttd.org/TSRY" TargetMode="External"/><Relationship Id="rId17" Type="http://schemas.openxmlformats.org/officeDocument/2006/relationships/hyperlink" Target="http://wiki.openttd.org/TSRY" TargetMode="External"/><Relationship Id="rId25" Type="http://schemas.openxmlformats.org/officeDocument/2006/relationships/hyperlink" Target="http://wiki.openttd.org/TSRY" TargetMode="External"/><Relationship Id="rId33" Type="http://schemas.openxmlformats.org/officeDocument/2006/relationships/hyperlink" Target="http://wiki.openttd.org/TSRY" TargetMode="External"/><Relationship Id="rId2" Type="http://schemas.openxmlformats.org/officeDocument/2006/relationships/hyperlink" Target="http://wiki.openttd.org/TSRY" TargetMode="External"/><Relationship Id="rId16" Type="http://schemas.openxmlformats.org/officeDocument/2006/relationships/hyperlink" Target="http://wiki.openttd.org/TSRY" TargetMode="External"/><Relationship Id="rId20" Type="http://schemas.openxmlformats.org/officeDocument/2006/relationships/hyperlink" Target="http://wiki.openttd.org/TSRY" TargetMode="External"/><Relationship Id="rId29" Type="http://schemas.openxmlformats.org/officeDocument/2006/relationships/hyperlink" Target="http://wiki.openttd.org/TSRY" TargetMode="External"/><Relationship Id="rId1" Type="http://schemas.openxmlformats.org/officeDocument/2006/relationships/hyperlink" Target="http://wiki.openttd.org/TSRY" TargetMode="External"/><Relationship Id="rId6" Type="http://schemas.openxmlformats.org/officeDocument/2006/relationships/hyperlink" Target="http://wiki.openttd.org/TSRY" TargetMode="External"/><Relationship Id="rId11" Type="http://schemas.openxmlformats.org/officeDocument/2006/relationships/hyperlink" Target="http://wiki.openttd.org/TSRY" TargetMode="External"/><Relationship Id="rId24" Type="http://schemas.openxmlformats.org/officeDocument/2006/relationships/hyperlink" Target="http://wiki.openttd.org/TSRY" TargetMode="External"/><Relationship Id="rId32" Type="http://schemas.openxmlformats.org/officeDocument/2006/relationships/hyperlink" Target="http://wiki.openttd.org/TSRY" TargetMode="External"/><Relationship Id="rId37" Type="http://schemas.openxmlformats.org/officeDocument/2006/relationships/drawing" Target="../drawings/drawing1.xml"/><Relationship Id="rId5" Type="http://schemas.openxmlformats.org/officeDocument/2006/relationships/hyperlink" Target="http://wiki.openttd.org/TSRY" TargetMode="External"/><Relationship Id="rId15" Type="http://schemas.openxmlformats.org/officeDocument/2006/relationships/hyperlink" Target="http://wiki.openttd.org/TSRY" TargetMode="External"/><Relationship Id="rId23" Type="http://schemas.openxmlformats.org/officeDocument/2006/relationships/hyperlink" Target="http://wiki.openttd.org/TSRY" TargetMode="External"/><Relationship Id="rId28" Type="http://schemas.openxmlformats.org/officeDocument/2006/relationships/hyperlink" Target="http://wiki.openttd.org/TSRY" TargetMode="External"/><Relationship Id="rId36" Type="http://schemas.openxmlformats.org/officeDocument/2006/relationships/hyperlink" Target="http://wiki.openttd.org/TSRY" TargetMode="External"/><Relationship Id="rId10" Type="http://schemas.openxmlformats.org/officeDocument/2006/relationships/hyperlink" Target="http://wiki.openttd.org/TSRY" TargetMode="External"/><Relationship Id="rId19" Type="http://schemas.openxmlformats.org/officeDocument/2006/relationships/hyperlink" Target="http://wiki.openttd.org/TSRY" TargetMode="External"/><Relationship Id="rId31" Type="http://schemas.openxmlformats.org/officeDocument/2006/relationships/hyperlink" Target="http://wiki.openttd.org/TSRY" TargetMode="External"/><Relationship Id="rId4" Type="http://schemas.openxmlformats.org/officeDocument/2006/relationships/hyperlink" Target="http://wiki.openttd.org/TSRY" TargetMode="External"/><Relationship Id="rId9" Type="http://schemas.openxmlformats.org/officeDocument/2006/relationships/hyperlink" Target="http://wiki.openttd.org/TSRY" TargetMode="External"/><Relationship Id="rId14" Type="http://schemas.openxmlformats.org/officeDocument/2006/relationships/hyperlink" Target="http://wiki.openttd.org/TSRY" TargetMode="External"/><Relationship Id="rId22" Type="http://schemas.openxmlformats.org/officeDocument/2006/relationships/hyperlink" Target="http://wiki.openttd.org/TSRY" TargetMode="External"/><Relationship Id="rId27" Type="http://schemas.openxmlformats.org/officeDocument/2006/relationships/hyperlink" Target="http://wiki.openttd.org/TSRY" TargetMode="External"/><Relationship Id="rId30" Type="http://schemas.openxmlformats.org/officeDocument/2006/relationships/hyperlink" Target="http://wiki.openttd.org/TSRY" TargetMode="External"/><Relationship Id="rId35" Type="http://schemas.openxmlformats.org/officeDocument/2006/relationships/hyperlink" Target="http://wiki.openttd.org/TSRY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://www.alkrug.vcn.com/rrfacts/hp_te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"/>
  <sheetViews>
    <sheetView workbookViewId="0">
      <selection activeCell="G4" sqref="G4"/>
    </sheetView>
  </sheetViews>
  <sheetFormatPr defaultRowHeight="15" x14ac:dyDescent="0.25"/>
  <cols>
    <col min="2" max="2" width="36.28515625" customWidth="1"/>
    <col min="6" max="6" width="15.140625" customWidth="1"/>
    <col min="8" max="8" width="15.5703125" customWidth="1"/>
  </cols>
  <sheetData>
    <row r="1" spans="1:11" ht="4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</row>
    <row r="2" spans="1:11" ht="25.5" x14ac:dyDescent="0.25">
      <c r="A2" s="3" t="s">
        <v>11</v>
      </c>
      <c r="B2" s="2" t="s">
        <v>12</v>
      </c>
      <c r="C2" s="2" t="s">
        <v>13</v>
      </c>
      <c r="D2" s="2" t="s">
        <v>14</v>
      </c>
      <c r="E2" s="2" t="s">
        <v>15</v>
      </c>
      <c r="F2" s="2" t="s">
        <v>16</v>
      </c>
      <c r="G2" s="2" t="s">
        <v>17</v>
      </c>
      <c r="H2" s="2" t="s">
        <v>18</v>
      </c>
      <c r="I2" s="2" t="s">
        <v>19</v>
      </c>
      <c r="J2" s="2" t="s">
        <v>20</v>
      </c>
      <c r="K2" s="2"/>
    </row>
    <row r="3" spans="1:11" ht="90" x14ac:dyDescent="0.25">
      <c r="A3" s="4" t="s">
        <v>21</v>
      </c>
      <c r="B3" s="5" t="s">
        <v>22</v>
      </c>
      <c r="C3" s="6" t="s">
        <v>23</v>
      </c>
      <c r="D3" s="7" t="s">
        <v>24</v>
      </c>
      <c r="E3" s="8">
        <v>47</v>
      </c>
      <c r="F3" s="7" t="s">
        <v>25</v>
      </c>
      <c r="G3" s="7">
        <v>139</v>
      </c>
      <c r="H3" s="6" t="s">
        <v>26</v>
      </c>
      <c r="I3" s="9">
        <v>1925</v>
      </c>
      <c r="J3" s="9">
        <v>15</v>
      </c>
      <c r="K3" s="8" t="s">
        <v>27</v>
      </c>
    </row>
    <row r="4" spans="1:11" ht="75" x14ac:dyDescent="0.25">
      <c r="A4" s="4" t="s">
        <v>21</v>
      </c>
      <c r="B4" s="5" t="s">
        <v>28</v>
      </c>
      <c r="C4" s="6" t="s">
        <v>29</v>
      </c>
      <c r="D4" s="7" t="s">
        <v>30</v>
      </c>
      <c r="E4" s="8">
        <v>131</v>
      </c>
      <c r="F4" s="7" t="s">
        <v>31</v>
      </c>
      <c r="G4" s="7">
        <v>388</v>
      </c>
      <c r="H4" s="6" t="s">
        <v>32</v>
      </c>
      <c r="I4" s="9">
        <v>1934</v>
      </c>
      <c r="J4" s="9">
        <v>21</v>
      </c>
      <c r="K4" s="8" t="s">
        <v>27</v>
      </c>
    </row>
    <row r="5" spans="1:11" ht="30" x14ac:dyDescent="0.25">
      <c r="A5" s="4" t="s">
        <v>21</v>
      </c>
      <c r="B5" s="5" t="s">
        <v>33</v>
      </c>
      <c r="C5" s="6" t="s">
        <v>34</v>
      </c>
      <c r="D5" s="7" t="s">
        <v>35</v>
      </c>
      <c r="E5" s="8">
        <v>162</v>
      </c>
      <c r="F5" s="7" t="s">
        <v>36</v>
      </c>
      <c r="G5" s="7">
        <v>480</v>
      </c>
      <c r="H5" s="6" t="s">
        <v>37</v>
      </c>
      <c r="I5" s="9">
        <v>1935</v>
      </c>
      <c r="J5" s="9">
        <v>20</v>
      </c>
      <c r="K5" s="8" t="s">
        <v>27</v>
      </c>
    </row>
    <row r="6" spans="1:11" ht="30" x14ac:dyDescent="0.25">
      <c r="A6" s="4" t="s">
        <v>21</v>
      </c>
      <c r="B6" s="5" t="s">
        <v>38</v>
      </c>
      <c r="C6" s="6" t="s">
        <v>39</v>
      </c>
      <c r="D6" s="7" t="s">
        <v>40</v>
      </c>
      <c r="E6" s="8">
        <v>170</v>
      </c>
      <c r="F6" s="7" t="s">
        <v>41</v>
      </c>
      <c r="G6" s="7">
        <v>504</v>
      </c>
      <c r="H6" s="6" t="s">
        <v>42</v>
      </c>
      <c r="I6" s="9">
        <v>1954</v>
      </c>
      <c r="J6" s="9">
        <v>23</v>
      </c>
      <c r="K6" s="8" t="s">
        <v>27</v>
      </c>
    </row>
    <row r="7" spans="1:11" ht="30" x14ac:dyDescent="0.25">
      <c r="A7" s="4" t="s">
        <v>43</v>
      </c>
      <c r="B7" s="5" t="s">
        <v>44</v>
      </c>
      <c r="C7" s="6" t="s">
        <v>45</v>
      </c>
      <c r="D7" s="7" t="s">
        <v>46</v>
      </c>
      <c r="E7" s="8">
        <v>145</v>
      </c>
      <c r="F7" s="7" t="s">
        <v>47</v>
      </c>
      <c r="G7" s="7">
        <v>430</v>
      </c>
      <c r="H7" s="6" t="s">
        <v>42</v>
      </c>
      <c r="I7" s="9">
        <v>1945</v>
      </c>
      <c r="J7" s="9">
        <v>21</v>
      </c>
      <c r="K7" s="8" t="s">
        <v>27</v>
      </c>
    </row>
    <row r="8" spans="1:11" ht="30" x14ac:dyDescent="0.25">
      <c r="A8" s="4" t="s">
        <v>48</v>
      </c>
      <c r="B8" s="5" t="s">
        <v>49</v>
      </c>
      <c r="C8" s="6" t="s">
        <v>50</v>
      </c>
      <c r="D8" s="7" t="s">
        <v>51</v>
      </c>
      <c r="E8" s="8">
        <v>85</v>
      </c>
      <c r="F8" s="7" t="s">
        <v>52</v>
      </c>
      <c r="G8" s="7">
        <v>252</v>
      </c>
      <c r="H8" s="6" t="s">
        <v>53</v>
      </c>
      <c r="I8" s="9">
        <v>1946</v>
      </c>
      <c r="J8" s="9">
        <v>20</v>
      </c>
      <c r="K8" s="8" t="s">
        <v>27</v>
      </c>
    </row>
    <row r="9" spans="1:11" ht="30" x14ac:dyDescent="0.25">
      <c r="A9" s="4" t="s">
        <v>48</v>
      </c>
      <c r="B9" s="5" t="s">
        <v>54</v>
      </c>
      <c r="C9" s="6" t="s">
        <v>55</v>
      </c>
      <c r="D9" s="7" t="s">
        <v>56</v>
      </c>
      <c r="E9" s="8">
        <v>130</v>
      </c>
      <c r="F9" s="7" t="s">
        <v>57</v>
      </c>
      <c r="G9" s="7">
        <v>385</v>
      </c>
      <c r="H9" s="6" t="s">
        <v>42</v>
      </c>
      <c r="I9" s="9">
        <v>1952</v>
      </c>
      <c r="J9" s="9">
        <v>20</v>
      </c>
      <c r="K9" s="8" t="s">
        <v>27</v>
      </c>
    </row>
    <row r="10" spans="1:11" ht="30" x14ac:dyDescent="0.25">
      <c r="A10" s="4" t="s">
        <v>48</v>
      </c>
      <c r="B10" s="5" t="s">
        <v>58</v>
      </c>
      <c r="C10" s="6" t="s">
        <v>59</v>
      </c>
      <c r="D10" s="7" t="s">
        <v>30</v>
      </c>
      <c r="E10" s="8">
        <v>140</v>
      </c>
      <c r="F10" s="7" t="s">
        <v>31</v>
      </c>
      <c r="G10" s="7">
        <v>415</v>
      </c>
      <c r="H10" s="6" t="s">
        <v>60</v>
      </c>
      <c r="I10" s="9">
        <v>1967</v>
      </c>
      <c r="J10" s="9">
        <v>20</v>
      </c>
      <c r="K10" s="8" t="s">
        <v>27</v>
      </c>
    </row>
    <row r="12" spans="1:11" ht="30" x14ac:dyDescent="0.25">
      <c r="A12" s="4" t="s">
        <v>21</v>
      </c>
      <c r="B12" s="5" t="s">
        <v>61</v>
      </c>
      <c r="C12" s="6" t="s">
        <v>62</v>
      </c>
      <c r="D12" s="7" t="s">
        <v>30</v>
      </c>
      <c r="E12" s="8">
        <v>32</v>
      </c>
      <c r="F12" s="7" t="s">
        <v>63</v>
      </c>
      <c r="G12" s="7">
        <v>95</v>
      </c>
      <c r="H12" s="6" t="s">
        <v>64</v>
      </c>
      <c r="I12" s="9">
        <v>1957</v>
      </c>
      <c r="J12" s="9">
        <v>12</v>
      </c>
      <c r="K12" s="8" t="s">
        <v>65</v>
      </c>
    </row>
    <row r="13" spans="1:11" ht="30" x14ac:dyDescent="0.25">
      <c r="A13" s="4" t="s">
        <v>21</v>
      </c>
      <c r="B13" s="5" t="s">
        <v>66</v>
      </c>
      <c r="C13" s="6" t="s">
        <v>45</v>
      </c>
      <c r="D13" s="7" t="s">
        <v>67</v>
      </c>
      <c r="E13" s="8">
        <v>38</v>
      </c>
      <c r="F13" s="7" t="s">
        <v>68</v>
      </c>
      <c r="G13" s="7">
        <v>112</v>
      </c>
      <c r="H13" s="6" t="s">
        <v>69</v>
      </c>
      <c r="I13" s="9">
        <v>1984</v>
      </c>
      <c r="J13" s="9">
        <v>15</v>
      </c>
      <c r="K13" s="8" t="s">
        <v>70</v>
      </c>
    </row>
    <row r="14" spans="1:11" ht="30" x14ac:dyDescent="0.25">
      <c r="A14" s="4" t="s">
        <v>21</v>
      </c>
      <c r="B14" s="5" t="s">
        <v>71</v>
      </c>
      <c r="C14" s="6" t="s">
        <v>72</v>
      </c>
      <c r="D14" s="7" t="s">
        <v>35</v>
      </c>
      <c r="E14" s="8">
        <v>72</v>
      </c>
      <c r="F14" s="7" t="s">
        <v>73</v>
      </c>
      <c r="G14" s="7">
        <v>213</v>
      </c>
      <c r="H14" s="6" t="s">
        <v>74</v>
      </c>
      <c r="I14" s="9">
        <v>1962</v>
      </c>
      <c r="J14" s="9">
        <v>18</v>
      </c>
      <c r="K14" s="8" t="s">
        <v>27</v>
      </c>
    </row>
    <row r="15" spans="1:11" ht="30" x14ac:dyDescent="0.25">
      <c r="A15" s="4" t="s">
        <v>21</v>
      </c>
      <c r="B15" s="5" t="s">
        <v>75</v>
      </c>
      <c r="C15" s="6" t="s">
        <v>76</v>
      </c>
      <c r="D15" s="7" t="s">
        <v>40</v>
      </c>
      <c r="E15" s="8">
        <v>101</v>
      </c>
      <c r="F15" s="7" t="s">
        <v>77</v>
      </c>
      <c r="G15" s="7">
        <v>299</v>
      </c>
      <c r="H15" s="6" t="s">
        <v>78</v>
      </c>
      <c r="I15" s="9">
        <v>1959</v>
      </c>
      <c r="J15" s="9">
        <v>20</v>
      </c>
      <c r="K15" s="8" t="s">
        <v>27</v>
      </c>
    </row>
    <row r="16" spans="1:11" ht="30" x14ac:dyDescent="0.25">
      <c r="A16" s="4" t="s">
        <v>21</v>
      </c>
      <c r="B16" s="5" t="s">
        <v>79</v>
      </c>
      <c r="C16" s="6" t="s">
        <v>80</v>
      </c>
      <c r="D16" s="7" t="s">
        <v>81</v>
      </c>
      <c r="E16" s="8">
        <v>112</v>
      </c>
      <c r="F16" s="7" t="s">
        <v>82</v>
      </c>
      <c r="G16" s="7">
        <v>332</v>
      </c>
      <c r="H16" s="6" t="s">
        <v>42</v>
      </c>
      <c r="I16" s="9">
        <v>1963</v>
      </c>
      <c r="J16" s="9">
        <v>22</v>
      </c>
      <c r="K16" s="8" t="s">
        <v>27</v>
      </c>
    </row>
    <row r="17" spans="1:11" ht="30" x14ac:dyDescent="0.25">
      <c r="A17" s="4" t="s">
        <v>21</v>
      </c>
      <c r="B17" s="5" t="s">
        <v>83</v>
      </c>
      <c r="C17" s="6" t="s">
        <v>84</v>
      </c>
      <c r="D17" s="7" t="s">
        <v>85</v>
      </c>
      <c r="E17" s="8">
        <v>70</v>
      </c>
      <c r="F17" s="7" t="s">
        <v>86</v>
      </c>
      <c r="G17" s="7">
        <v>207</v>
      </c>
      <c r="H17" s="6" t="s">
        <v>87</v>
      </c>
      <c r="I17" s="9">
        <v>1978</v>
      </c>
      <c r="J17" s="9">
        <v>20</v>
      </c>
      <c r="K17" s="8" t="s">
        <v>88</v>
      </c>
    </row>
    <row r="18" spans="1:11" ht="30" x14ac:dyDescent="0.25">
      <c r="A18" s="4" t="s">
        <v>43</v>
      </c>
      <c r="B18" s="5" t="s">
        <v>89</v>
      </c>
      <c r="C18" s="6" t="s">
        <v>90</v>
      </c>
      <c r="D18" s="7" t="s">
        <v>91</v>
      </c>
      <c r="E18" s="8">
        <v>65</v>
      </c>
      <c r="F18" s="7" t="s">
        <v>63</v>
      </c>
      <c r="G18" s="7">
        <v>192</v>
      </c>
      <c r="H18" s="6" t="s">
        <v>92</v>
      </c>
      <c r="I18" s="9">
        <v>1955</v>
      </c>
      <c r="J18" s="9">
        <v>22</v>
      </c>
      <c r="K18" s="8" t="s">
        <v>27</v>
      </c>
    </row>
    <row r="19" spans="1:11" ht="30" x14ac:dyDescent="0.25">
      <c r="A19" s="4" t="s">
        <v>43</v>
      </c>
      <c r="B19" s="5" t="s">
        <v>93</v>
      </c>
      <c r="C19" s="6" t="s">
        <v>80</v>
      </c>
      <c r="D19" s="7" t="s">
        <v>94</v>
      </c>
      <c r="E19" s="8">
        <v>110</v>
      </c>
      <c r="F19" s="7" t="s">
        <v>95</v>
      </c>
      <c r="G19" s="7">
        <v>326</v>
      </c>
      <c r="H19" s="6" t="s">
        <v>96</v>
      </c>
      <c r="I19" s="9">
        <v>1958</v>
      </c>
      <c r="J19" s="9">
        <v>22</v>
      </c>
      <c r="K19" s="8" t="s">
        <v>27</v>
      </c>
    </row>
    <row r="20" spans="1:11" ht="30" x14ac:dyDescent="0.25">
      <c r="A20" s="4" t="s">
        <v>43</v>
      </c>
      <c r="B20" s="5" t="s">
        <v>97</v>
      </c>
      <c r="C20" s="6" t="s">
        <v>98</v>
      </c>
      <c r="D20" s="7" t="s">
        <v>30</v>
      </c>
      <c r="E20" s="8">
        <v>207</v>
      </c>
      <c r="F20" s="7" t="s">
        <v>99</v>
      </c>
      <c r="G20" s="7">
        <v>614</v>
      </c>
      <c r="H20" s="6" t="s">
        <v>100</v>
      </c>
      <c r="I20" s="9">
        <v>1972</v>
      </c>
      <c r="J20" s="9">
        <v>22</v>
      </c>
      <c r="K20" s="8" t="s">
        <v>27</v>
      </c>
    </row>
    <row r="21" spans="1:11" ht="30" x14ac:dyDescent="0.25">
      <c r="A21" s="4" t="s">
        <v>43</v>
      </c>
      <c r="B21" s="5" t="s">
        <v>101</v>
      </c>
      <c r="C21" s="6" t="s">
        <v>102</v>
      </c>
      <c r="D21" s="7" t="s">
        <v>56</v>
      </c>
      <c r="E21" s="8">
        <v>150</v>
      </c>
      <c r="F21" s="7" t="s">
        <v>103</v>
      </c>
      <c r="G21" s="7">
        <v>445</v>
      </c>
      <c r="H21" s="6" t="s">
        <v>104</v>
      </c>
      <c r="I21" s="9">
        <v>1962</v>
      </c>
      <c r="J21" s="9">
        <v>20</v>
      </c>
      <c r="K21" s="8" t="s">
        <v>27</v>
      </c>
    </row>
    <row r="22" spans="1:11" ht="30" x14ac:dyDescent="0.25">
      <c r="A22" s="4" t="s">
        <v>43</v>
      </c>
      <c r="B22" s="5" t="s">
        <v>105</v>
      </c>
      <c r="C22" s="6" t="s">
        <v>106</v>
      </c>
      <c r="D22" s="7" t="s">
        <v>30</v>
      </c>
      <c r="E22" s="8">
        <v>120</v>
      </c>
      <c r="F22" s="7" t="s">
        <v>107</v>
      </c>
      <c r="G22" s="7">
        <v>356</v>
      </c>
      <c r="H22" s="6" t="s">
        <v>96</v>
      </c>
      <c r="I22" s="9">
        <v>1965</v>
      </c>
      <c r="J22" s="9">
        <v>20</v>
      </c>
      <c r="K22" s="8" t="s">
        <v>27</v>
      </c>
    </row>
    <row r="23" spans="1:11" ht="30" x14ac:dyDescent="0.25">
      <c r="A23" s="4" t="s">
        <v>43</v>
      </c>
      <c r="B23" s="5" t="s">
        <v>108</v>
      </c>
      <c r="C23" s="6" t="s">
        <v>109</v>
      </c>
      <c r="D23" s="7" t="s">
        <v>94</v>
      </c>
      <c r="E23" s="8">
        <v>120</v>
      </c>
      <c r="F23" s="7" t="s">
        <v>110</v>
      </c>
      <c r="G23" s="7">
        <v>356</v>
      </c>
      <c r="H23" s="6" t="s">
        <v>111</v>
      </c>
      <c r="I23" s="9">
        <v>1965</v>
      </c>
      <c r="J23" s="9">
        <v>22</v>
      </c>
      <c r="K23" s="8" t="s">
        <v>27</v>
      </c>
    </row>
    <row r="24" spans="1:11" ht="30" x14ac:dyDescent="0.25">
      <c r="A24" s="4" t="s">
        <v>43</v>
      </c>
      <c r="B24" s="5" t="s">
        <v>112</v>
      </c>
      <c r="C24" s="6" t="s">
        <v>113</v>
      </c>
      <c r="D24" s="7" t="s">
        <v>81</v>
      </c>
      <c r="E24" s="8">
        <v>190</v>
      </c>
      <c r="F24" s="7" t="s">
        <v>114</v>
      </c>
      <c r="G24" s="7">
        <v>564</v>
      </c>
      <c r="H24" s="6" t="s">
        <v>115</v>
      </c>
      <c r="I24" s="9">
        <v>1977</v>
      </c>
      <c r="J24" s="9">
        <v>22</v>
      </c>
      <c r="K24" s="8" t="s">
        <v>27</v>
      </c>
    </row>
    <row r="25" spans="1:11" ht="30" x14ac:dyDescent="0.25">
      <c r="A25" s="4" t="s">
        <v>48</v>
      </c>
      <c r="B25" s="5" t="s">
        <v>116</v>
      </c>
      <c r="C25" s="6" t="s">
        <v>117</v>
      </c>
      <c r="D25" s="7" t="s">
        <v>67</v>
      </c>
      <c r="E25" s="8">
        <v>95</v>
      </c>
      <c r="F25" s="7" t="s">
        <v>118</v>
      </c>
      <c r="G25" s="7">
        <v>282</v>
      </c>
      <c r="H25" s="6" t="s">
        <v>119</v>
      </c>
      <c r="I25" s="9">
        <v>1972</v>
      </c>
      <c r="J25" s="9">
        <v>20</v>
      </c>
      <c r="K25" s="8" t="s">
        <v>27</v>
      </c>
    </row>
    <row r="26" spans="1:11" ht="30" x14ac:dyDescent="0.25">
      <c r="A26" s="4" t="s">
        <v>48</v>
      </c>
      <c r="B26" s="5" t="s">
        <v>120</v>
      </c>
      <c r="C26" s="6" t="s">
        <v>121</v>
      </c>
      <c r="D26" s="7" t="s">
        <v>122</v>
      </c>
      <c r="E26" s="8">
        <v>120</v>
      </c>
      <c r="F26" s="7" t="s">
        <v>123</v>
      </c>
      <c r="G26" s="7">
        <v>356</v>
      </c>
      <c r="H26" s="6" t="s">
        <v>124</v>
      </c>
      <c r="I26" s="9">
        <v>1978</v>
      </c>
      <c r="J26" s="9">
        <v>20</v>
      </c>
      <c r="K26" s="8" t="s">
        <v>27</v>
      </c>
    </row>
    <row r="28" spans="1:11" ht="30" x14ac:dyDescent="0.25">
      <c r="A28" s="4" t="s">
        <v>21</v>
      </c>
      <c r="B28" s="5" t="s">
        <v>125</v>
      </c>
      <c r="C28" s="6" t="s">
        <v>126</v>
      </c>
      <c r="D28" s="7" t="s">
        <v>81</v>
      </c>
      <c r="E28" s="8">
        <v>84</v>
      </c>
      <c r="F28" s="7" t="s">
        <v>127</v>
      </c>
      <c r="G28" s="7">
        <v>249</v>
      </c>
      <c r="H28" s="6" t="s">
        <v>128</v>
      </c>
      <c r="I28" s="9">
        <v>1965</v>
      </c>
      <c r="J28" s="9">
        <v>23</v>
      </c>
      <c r="K28" s="8" t="s">
        <v>27</v>
      </c>
    </row>
    <row r="29" spans="1:11" ht="30" x14ac:dyDescent="0.25">
      <c r="A29" s="4" t="s">
        <v>21</v>
      </c>
      <c r="B29" s="5" t="s">
        <v>129</v>
      </c>
      <c r="C29" s="6" t="s">
        <v>98</v>
      </c>
      <c r="D29" s="7" t="s">
        <v>130</v>
      </c>
      <c r="E29" s="8">
        <v>82</v>
      </c>
      <c r="F29" s="7" t="s">
        <v>131</v>
      </c>
      <c r="G29" s="7">
        <v>243</v>
      </c>
      <c r="H29" s="6" t="s">
        <v>132</v>
      </c>
      <c r="I29" s="9">
        <v>1973</v>
      </c>
      <c r="J29" s="9">
        <v>25</v>
      </c>
      <c r="K29" s="8" t="s">
        <v>27</v>
      </c>
    </row>
    <row r="30" spans="1:11" ht="30" x14ac:dyDescent="0.25">
      <c r="A30" s="4" t="s">
        <v>21</v>
      </c>
      <c r="B30" s="5" t="s">
        <v>133</v>
      </c>
      <c r="C30" s="6" t="s">
        <v>134</v>
      </c>
      <c r="D30" s="7" t="s">
        <v>135</v>
      </c>
      <c r="E30" s="8">
        <v>90</v>
      </c>
      <c r="F30" s="7" t="s">
        <v>136</v>
      </c>
      <c r="G30" s="7">
        <v>267</v>
      </c>
      <c r="H30" s="6" t="s">
        <v>137</v>
      </c>
      <c r="I30" s="9">
        <v>1984</v>
      </c>
      <c r="J30" s="9">
        <v>25</v>
      </c>
      <c r="K30" s="8" t="s">
        <v>27</v>
      </c>
    </row>
    <row r="31" spans="1:11" ht="30" x14ac:dyDescent="0.25">
      <c r="A31" s="4" t="s">
        <v>21</v>
      </c>
      <c r="B31" s="5" t="s">
        <v>138</v>
      </c>
      <c r="C31" s="6" t="s">
        <v>139</v>
      </c>
      <c r="D31" s="7" t="s">
        <v>140</v>
      </c>
      <c r="E31" s="8">
        <v>94</v>
      </c>
      <c r="F31" s="7" t="s">
        <v>141</v>
      </c>
      <c r="G31" s="7">
        <v>279</v>
      </c>
      <c r="H31" s="6" t="s">
        <v>142</v>
      </c>
      <c r="I31" s="9">
        <v>1992</v>
      </c>
      <c r="J31" s="9">
        <v>25</v>
      </c>
      <c r="K31" s="8" t="s">
        <v>27</v>
      </c>
    </row>
    <row r="33" spans="1:11" ht="30" x14ac:dyDescent="0.25">
      <c r="A33" s="4" t="s">
        <v>143</v>
      </c>
      <c r="B33" s="5" t="s">
        <v>144</v>
      </c>
      <c r="C33" s="6" t="s">
        <v>145</v>
      </c>
      <c r="D33" s="7" t="s">
        <v>146</v>
      </c>
      <c r="E33" s="8">
        <v>95</v>
      </c>
      <c r="F33" s="7" t="s">
        <v>147</v>
      </c>
      <c r="G33" s="7">
        <v>282</v>
      </c>
      <c r="H33" s="6" t="s">
        <v>148</v>
      </c>
      <c r="I33" s="9">
        <v>1999</v>
      </c>
      <c r="J33" s="9">
        <v>20</v>
      </c>
      <c r="K33" s="8" t="s">
        <v>27</v>
      </c>
    </row>
    <row r="34" spans="1:11" ht="30" x14ac:dyDescent="0.25">
      <c r="A34" s="4" t="s">
        <v>143</v>
      </c>
      <c r="B34" s="5" t="s">
        <v>149</v>
      </c>
      <c r="C34" s="6" t="s">
        <v>150</v>
      </c>
      <c r="D34" s="7" t="s">
        <v>151</v>
      </c>
      <c r="E34" s="8">
        <v>170</v>
      </c>
      <c r="F34" s="7" t="s">
        <v>152</v>
      </c>
      <c r="G34" s="7">
        <v>504</v>
      </c>
      <c r="H34" s="6" t="s">
        <v>137</v>
      </c>
      <c r="I34" s="9">
        <v>2005</v>
      </c>
      <c r="J34" s="9">
        <v>20</v>
      </c>
      <c r="K34" s="8" t="s">
        <v>153</v>
      </c>
    </row>
    <row r="35" spans="1:11" ht="30" x14ac:dyDescent="0.25">
      <c r="A35" s="4" t="s">
        <v>48</v>
      </c>
      <c r="B35" s="5" t="s">
        <v>154</v>
      </c>
      <c r="C35" s="6" t="s">
        <v>155</v>
      </c>
      <c r="D35" s="7" t="s">
        <v>156</v>
      </c>
      <c r="E35" s="8">
        <v>95</v>
      </c>
      <c r="F35" s="7" t="s">
        <v>131</v>
      </c>
      <c r="G35" s="7">
        <v>282</v>
      </c>
      <c r="H35" s="6" t="s">
        <v>148</v>
      </c>
      <c r="I35" s="9">
        <v>1999</v>
      </c>
      <c r="J35" s="9">
        <v>20</v>
      </c>
      <c r="K35" s="8" t="s">
        <v>27</v>
      </c>
    </row>
    <row r="37" spans="1:11" ht="30" x14ac:dyDescent="0.25">
      <c r="A37" s="4" t="s">
        <v>143</v>
      </c>
      <c r="B37" s="5" t="s">
        <v>157</v>
      </c>
      <c r="C37" s="6" t="s">
        <v>158</v>
      </c>
      <c r="D37" s="7" t="s">
        <v>159</v>
      </c>
      <c r="E37" s="8">
        <v>105</v>
      </c>
      <c r="F37" s="7" t="s">
        <v>152</v>
      </c>
      <c r="G37" s="7">
        <v>311</v>
      </c>
      <c r="H37" s="6" t="s">
        <v>160</v>
      </c>
      <c r="I37" s="9">
        <v>2020</v>
      </c>
      <c r="J37" s="9">
        <v>20</v>
      </c>
      <c r="K37" s="8" t="s">
        <v>27</v>
      </c>
    </row>
    <row r="38" spans="1:11" ht="30" x14ac:dyDescent="0.25">
      <c r="A38" s="4" t="s">
        <v>143</v>
      </c>
      <c r="B38" s="5" t="s">
        <v>161</v>
      </c>
      <c r="C38" s="6" t="s">
        <v>162</v>
      </c>
      <c r="D38" s="7" t="s">
        <v>163</v>
      </c>
      <c r="E38" s="8">
        <v>120</v>
      </c>
      <c r="F38" s="7" t="s">
        <v>164</v>
      </c>
      <c r="G38" s="7">
        <v>356</v>
      </c>
      <c r="H38" s="6" t="s">
        <v>165</v>
      </c>
      <c r="I38" s="9">
        <v>2028</v>
      </c>
      <c r="J38" s="9">
        <v>20</v>
      </c>
      <c r="K38" s="8" t="s">
        <v>27</v>
      </c>
    </row>
    <row r="39" spans="1:11" ht="30" x14ac:dyDescent="0.25">
      <c r="A39" s="4" t="s">
        <v>143</v>
      </c>
      <c r="B39" s="5" t="s">
        <v>166</v>
      </c>
      <c r="C39" s="6" t="s">
        <v>167</v>
      </c>
      <c r="D39" s="7" t="s">
        <v>168</v>
      </c>
      <c r="E39" s="8">
        <v>130</v>
      </c>
      <c r="F39" s="7" t="s">
        <v>169</v>
      </c>
      <c r="G39" s="7">
        <v>385</v>
      </c>
      <c r="H39" s="6" t="s">
        <v>170</v>
      </c>
      <c r="I39" s="9">
        <v>2035</v>
      </c>
      <c r="J39" s="9">
        <v>20</v>
      </c>
      <c r="K39" s="8" t="s">
        <v>27</v>
      </c>
    </row>
    <row r="40" spans="1:11" x14ac:dyDescent="0.25">
      <c r="A40" s="4" t="s">
        <v>143</v>
      </c>
      <c r="B40" s="5" t="s">
        <v>171</v>
      </c>
      <c r="C40" s="10" t="s">
        <v>172</v>
      </c>
      <c r="D40" s="11" t="s">
        <v>173</v>
      </c>
      <c r="E40" s="8">
        <v>300</v>
      </c>
      <c r="F40" s="11" t="s">
        <v>174</v>
      </c>
      <c r="G40" s="7">
        <v>890</v>
      </c>
      <c r="H40" s="10" t="s">
        <v>175</v>
      </c>
      <c r="I40" s="9">
        <v>2038</v>
      </c>
      <c r="J40" s="9">
        <v>20</v>
      </c>
      <c r="K40" s="8" t="s">
        <v>27</v>
      </c>
    </row>
    <row r="41" spans="1:11" ht="30" x14ac:dyDescent="0.25">
      <c r="A41" s="4" t="s">
        <v>48</v>
      </c>
      <c r="B41" s="5" t="s">
        <v>176</v>
      </c>
      <c r="C41" s="6" t="s">
        <v>177</v>
      </c>
      <c r="D41" s="7" t="s">
        <v>178</v>
      </c>
      <c r="E41" s="8">
        <v>120</v>
      </c>
      <c r="F41" s="7" t="s">
        <v>152</v>
      </c>
      <c r="G41" s="7">
        <v>356</v>
      </c>
      <c r="H41" s="6" t="s">
        <v>160</v>
      </c>
      <c r="I41" s="9">
        <v>2021</v>
      </c>
      <c r="J41" s="9">
        <v>20</v>
      </c>
      <c r="K41" s="8" t="s">
        <v>27</v>
      </c>
    </row>
  </sheetData>
  <hyperlinks>
    <hyperlink ref="A2" r:id="rId1" tooltip="TSRY" display="http://wiki.openttd.org/TSRY"/>
    <hyperlink ref="A3" r:id="rId2" tooltip="TSRY" display="http://wiki.openttd.org/TSRY"/>
    <hyperlink ref="A4" r:id="rId3" tooltip="TSRY" display="http://wiki.openttd.org/TSRY"/>
    <hyperlink ref="A5" r:id="rId4" tooltip="TSRY" display="http://wiki.openttd.org/TSRY"/>
    <hyperlink ref="A6" r:id="rId5" tooltip="TSRY" display="http://wiki.openttd.org/TSRY"/>
    <hyperlink ref="A7" r:id="rId6" tooltip="TSRY" display="http://wiki.openttd.org/TSRY"/>
    <hyperlink ref="A8" r:id="rId7" tooltip="TSRY" display="http://wiki.openttd.org/TSRY"/>
    <hyperlink ref="A9" r:id="rId8" tooltip="TSRY" display="http://wiki.openttd.org/TSRY"/>
    <hyperlink ref="A10" r:id="rId9" tooltip="TSRY" display="http://wiki.openttd.org/TSRY"/>
    <hyperlink ref="A12" r:id="rId10" tooltip="TSRY" display="http://wiki.openttd.org/TSRY"/>
    <hyperlink ref="A13" r:id="rId11" tooltip="TSRY" display="http://wiki.openttd.org/TSRY"/>
    <hyperlink ref="A14" r:id="rId12" tooltip="TSRY" display="http://wiki.openttd.org/TSRY"/>
    <hyperlink ref="A15" r:id="rId13" tooltip="TSRY" display="http://wiki.openttd.org/TSRY"/>
    <hyperlink ref="A16" r:id="rId14" tooltip="TSRY" display="http://wiki.openttd.org/TSRY"/>
    <hyperlink ref="A17" r:id="rId15" tooltip="TSRY" display="http://wiki.openttd.org/TSRY"/>
    <hyperlink ref="A18" r:id="rId16" tooltip="TSRY" display="http://wiki.openttd.org/TSRY"/>
    <hyperlink ref="A19" r:id="rId17" tooltip="TSRY" display="http://wiki.openttd.org/TSRY"/>
    <hyperlink ref="A20" r:id="rId18" tooltip="TSRY" display="http://wiki.openttd.org/TSRY"/>
    <hyperlink ref="A21" r:id="rId19" tooltip="TSRY" display="http://wiki.openttd.org/TSRY"/>
    <hyperlink ref="A22" r:id="rId20" tooltip="TSRY" display="http://wiki.openttd.org/TSRY"/>
    <hyperlink ref="A23" r:id="rId21" tooltip="TSRY" display="http://wiki.openttd.org/TSRY"/>
    <hyperlink ref="A24" r:id="rId22" tooltip="TSRY" display="http://wiki.openttd.org/TSRY"/>
    <hyperlink ref="A25" r:id="rId23" tooltip="TSRY" display="http://wiki.openttd.org/TSRY"/>
    <hyperlink ref="A26" r:id="rId24" tooltip="TSRY" display="http://wiki.openttd.org/TSRY"/>
    <hyperlink ref="A28" r:id="rId25" tooltip="TSRY" display="http://wiki.openttd.org/TSRY"/>
    <hyperlink ref="A29" r:id="rId26" tooltip="TSRY" display="http://wiki.openttd.org/TSRY"/>
    <hyperlink ref="A30" r:id="rId27" tooltip="TSRY" display="http://wiki.openttd.org/TSRY"/>
    <hyperlink ref="A31" r:id="rId28" tooltip="TSRY" display="http://wiki.openttd.org/TSRY"/>
    <hyperlink ref="A33" r:id="rId29" tooltip="TSRY" display="http://wiki.openttd.org/TSRY"/>
    <hyperlink ref="A34" r:id="rId30" tooltip="TSRY" display="http://wiki.openttd.org/TSRY"/>
    <hyperlink ref="A35" r:id="rId31" tooltip="TSRY" display="http://wiki.openttd.org/TSRY"/>
    <hyperlink ref="A37" r:id="rId32" tooltip="TSRY" display="http://wiki.openttd.org/TSRY"/>
    <hyperlink ref="A38" r:id="rId33" tooltip="TSRY" display="http://wiki.openttd.org/TSRY"/>
    <hyperlink ref="A39" r:id="rId34" tooltip="TSRY" display="http://wiki.openttd.org/TSRY"/>
    <hyperlink ref="A40" r:id="rId35" tooltip="TSRY" display="http://wiki.openttd.org/TSRY"/>
    <hyperlink ref="A41" r:id="rId36" tooltip="TSRY" display="http://wiki.openttd.org/TSRY"/>
  </hyperlinks>
  <pageMargins left="0.7" right="0.7" top="0.75" bottom="0.75" header="0.3" footer="0.3"/>
  <drawing r:id="rId3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L42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M12" sqref="BM12"/>
    </sheetView>
  </sheetViews>
  <sheetFormatPr defaultRowHeight="15" x14ac:dyDescent="0.25"/>
  <cols>
    <col min="1" max="1" width="34.28515625" bestFit="1" customWidth="1"/>
    <col min="3" max="3" width="16.140625" bestFit="1" customWidth="1"/>
    <col min="4" max="4" width="11.5703125" bestFit="1" customWidth="1"/>
    <col min="6" max="6" width="14.140625" bestFit="1" customWidth="1"/>
    <col min="8" max="8" width="18.42578125" bestFit="1" customWidth="1"/>
    <col min="14" max="14" width="8.5703125" customWidth="1"/>
    <col min="69" max="82" width="9.140625" customWidth="1"/>
  </cols>
  <sheetData>
    <row r="1" spans="1:90" x14ac:dyDescent="0.25"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M1" t="s">
        <v>209</v>
      </c>
      <c r="N1" t="s">
        <v>340</v>
      </c>
      <c r="O1" t="s">
        <v>2</v>
      </c>
      <c r="P1" t="s">
        <v>3</v>
      </c>
      <c r="Q1" t="s">
        <v>4</v>
      </c>
      <c r="R1" t="s">
        <v>5</v>
      </c>
      <c r="S1" t="s">
        <v>179</v>
      </c>
      <c r="T1" t="s">
        <v>341</v>
      </c>
      <c r="U1" t="s">
        <v>342</v>
      </c>
      <c r="V1" t="s">
        <v>180</v>
      </c>
      <c r="W1" t="s">
        <v>8</v>
      </c>
      <c r="X1" t="s">
        <v>9</v>
      </c>
      <c r="AS1" t="s">
        <v>209</v>
      </c>
      <c r="AU1" t="s">
        <v>340</v>
      </c>
      <c r="AV1" t="s">
        <v>2</v>
      </c>
      <c r="AW1" t="s">
        <v>348</v>
      </c>
      <c r="AX1" t="s">
        <v>5</v>
      </c>
      <c r="AY1" t="s">
        <v>4</v>
      </c>
      <c r="AZ1" t="s">
        <v>341</v>
      </c>
      <c r="BA1" t="s">
        <v>180</v>
      </c>
      <c r="BB1" t="s">
        <v>342</v>
      </c>
      <c r="BG1" t="s">
        <v>8</v>
      </c>
      <c r="BH1" t="s">
        <v>354</v>
      </c>
      <c r="BI1" t="s">
        <v>0</v>
      </c>
      <c r="BM1" t="s">
        <v>385</v>
      </c>
      <c r="BO1" t="s">
        <v>367</v>
      </c>
      <c r="BQ1" t="s">
        <v>355</v>
      </c>
      <c r="BR1" t="s">
        <v>233</v>
      </c>
      <c r="BS1" t="s">
        <v>362</v>
      </c>
      <c r="BT1" t="s">
        <v>234</v>
      </c>
      <c r="BU1" t="s">
        <v>363</v>
      </c>
      <c r="BZ1" t="s">
        <v>377</v>
      </c>
      <c r="CA1" t="s">
        <v>235</v>
      </c>
      <c r="CB1" t="s">
        <v>365</v>
      </c>
      <c r="CE1" t="s">
        <v>236</v>
      </c>
      <c r="CF1" t="s">
        <v>368</v>
      </c>
      <c r="CH1" t="s">
        <v>237</v>
      </c>
      <c r="CI1" t="s">
        <v>370</v>
      </c>
      <c r="CK1" t="s">
        <v>372</v>
      </c>
    </row>
    <row r="2" spans="1:90" x14ac:dyDescent="0.25">
      <c r="C2" t="s">
        <v>13</v>
      </c>
      <c r="D2" t="s">
        <v>14</v>
      </c>
      <c r="E2" t="s">
        <v>15</v>
      </c>
      <c r="F2" t="s">
        <v>16</v>
      </c>
      <c r="G2" t="s">
        <v>17</v>
      </c>
      <c r="H2" t="s">
        <v>18</v>
      </c>
      <c r="I2" t="s">
        <v>19</v>
      </c>
      <c r="J2" t="s">
        <v>20</v>
      </c>
      <c r="AS2" t="s">
        <v>336</v>
      </c>
      <c r="AT2" t="s">
        <v>337</v>
      </c>
      <c r="BB2" t="s">
        <v>349</v>
      </c>
      <c r="BC2" t="s">
        <v>350</v>
      </c>
      <c r="BD2" t="s">
        <v>351</v>
      </c>
      <c r="BE2" t="s">
        <v>352</v>
      </c>
      <c r="BF2" t="s">
        <v>353</v>
      </c>
      <c r="BI2" t="s">
        <v>356</v>
      </c>
      <c r="BJ2" t="s">
        <v>357</v>
      </c>
      <c r="BK2" t="s">
        <v>358</v>
      </c>
      <c r="BL2" t="s">
        <v>359</v>
      </c>
      <c r="BR2" t="s">
        <v>361</v>
      </c>
      <c r="BT2" t="s">
        <v>364</v>
      </c>
      <c r="BU2" t="s">
        <v>360</v>
      </c>
      <c r="CA2" t="s">
        <v>366</v>
      </c>
      <c r="CB2" t="s">
        <v>360</v>
      </c>
      <c r="CE2" t="s">
        <v>369</v>
      </c>
      <c r="CF2" t="s">
        <v>360</v>
      </c>
      <c r="CH2" t="s">
        <v>371</v>
      </c>
      <c r="CI2" t="s">
        <v>360</v>
      </c>
    </row>
    <row r="4" spans="1:90" x14ac:dyDescent="0.25">
      <c r="A4" t="str">
        <f>+Existing!B3</f>
        <v>Collet Pannier Tank (Kirby Paul Tank)</v>
      </c>
      <c r="B4" t="str">
        <f>+Existing!A3</f>
        <v>T___</v>
      </c>
      <c r="C4" t="str">
        <f>+Existing!C3</f>
        <v>8,203 (16,406)</v>
      </c>
      <c r="D4" t="str">
        <f>+Existing!D3</f>
        <v>64 (40)</v>
      </c>
      <c r="E4">
        <f>+Existing!E3</f>
        <v>47</v>
      </c>
      <c r="F4" t="str">
        <f>+Existing!F3</f>
        <v>300 (224)</v>
      </c>
      <c r="G4">
        <f>+Existing!G3</f>
        <v>139</v>
      </c>
      <c r="H4" t="str">
        <f>+Existing!H3</f>
        <v>820 (1,640)</v>
      </c>
      <c r="I4">
        <f>+Existing!I3</f>
        <v>1925</v>
      </c>
      <c r="J4">
        <f>+Existing!J3</f>
        <v>15</v>
      </c>
      <c r="K4" t="str">
        <f>+Existing!K3</f>
        <v>N/A</v>
      </c>
      <c r="M4" t="s">
        <v>338</v>
      </c>
      <c r="N4">
        <v>7</v>
      </c>
      <c r="O4">
        <f>VALUE(LEFT(C4,FIND("(",C4,1)-2))</f>
        <v>8203</v>
      </c>
      <c r="P4">
        <f>VALUE(LEFT(D4,FIND("(",D4,1)-2))</f>
        <v>64</v>
      </c>
      <c r="Q4">
        <f>+E4</f>
        <v>47</v>
      </c>
      <c r="R4">
        <f>VALUE(LEFT(F4,FIND("(",F4,1)-2))</f>
        <v>300</v>
      </c>
      <c r="S4">
        <f>+G4</f>
        <v>139</v>
      </c>
      <c r="T4">
        <v>50</v>
      </c>
      <c r="U4" t="s">
        <v>343</v>
      </c>
      <c r="V4">
        <f>VALUE(LEFT(H4,FIND("(",H4,1)-2))</f>
        <v>820</v>
      </c>
      <c r="W4">
        <f>+I4</f>
        <v>1925</v>
      </c>
      <c r="X4">
        <f>+J4</f>
        <v>15</v>
      </c>
      <c r="AS4">
        <f>+IF(M4="M",1,0)</f>
        <v>0</v>
      </c>
      <c r="AT4">
        <f>+IF(M4="G",1,0)</f>
        <v>1</v>
      </c>
      <c r="AU4">
        <f>+N4</f>
        <v>7</v>
      </c>
      <c r="AV4">
        <f>+O4</f>
        <v>8203</v>
      </c>
      <c r="AW4">
        <f>+P4</f>
        <v>64</v>
      </c>
      <c r="AX4">
        <f>+R4</f>
        <v>300</v>
      </c>
      <c r="AY4">
        <f>+Q4</f>
        <v>47</v>
      </c>
      <c r="AZ4">
        <f>+T4</f>
        <v>50</v>
      </c>
      <c r="BA4">
        <f>+V4</f>
        <v>820</v>
      </c>
      <c r="BB4">
        <f>+IF(U4="S",1,0)</f>
        <v>1</v>
      </c>
      <c r="BC4">
        <f>+IF(U4="D",1,0)</f>
        <v>0</v>
      </c>
      <c r="BD4">
        <f>+IF(U4="E",1,0)</f>
        <v>0</v>
      </c>
      <c r="BE4">
        <f>+IF(U4="o",1,0)</f>
        <v>0</v>
      </c>
      <c r="BF4">
        <f>+IF(U4="l",1,0)</f>
        <v>0</v>
      </c>
      <c r="BG4">
        <f>+W4</f>
        <v>1925</v>
      </c>
      <c r="BH4">
        <f>+X4</f>
        <v>15</v>
      </c>
      <c r="BI4">
        <v>1</v>
      </c>
      <c r="BJ4">
        <v>0</v>
      </c>
      <c r="BK4">
        <v>0</v>
      </c>
      <c r="BL4">
        <v>0</v>
      </c>
      <c r="BM4">
        <f>+S4/Q4</f>
        <v>2.9574468085106385</v>
      </c>
      <c r="BO4">
        <f>+AX4/AY4</f>
        <v>6.3829787234042552</v>
      </c>
      <c r="BQ4">
        <f t="shared" ref="BQ4:BQ11" si="0">+AV4/AU4</f>
        <v>1171.8571428571429</v>
      </c>
      <c r="BR4">
        <f t="shared" ref="BR4:BR11" si="1">190.2*AW4</f>
        <v>12172.8</v>
      </c>
      <c r="BS4">
        <f t="shared" ref="BS4:BS11" si="2">-AV4+BR4</f>
        <v>3969.7999999999993</v>
      </c>
      <c r="BT4">
        <f t="shared" ref="BT4:BT11" si="3">294.5*AW4-13530-0.1524*AW4^2-3.544*AX4*BC4</f>
        <v>4693.7695999999996</v>
      </c>
      <c r="BU4">
        <f t="shared" ref="BU4:BU11" si="4">-AV4+BT4</f>
        <v>-3509.2304000000004</v>
      </c>
      <c r="BV4" s="22">
        <f>+BU4/BT4</f>
        <v>-0.74763584475897593</v>
      </c>
      <c r="BW4">
        <f>300*AW4-14000-0.15*AW4^2-3.5*AX4*BC4</f>
        <v>4585.6000000000004</v>
      </c>
      <c r="BX4" s="22">
        <f>1-BW4/BT4</f>
        <v>2.3045357829238E-2</v>
      </c>
      <c r="BZ4">
        <f>+BA4/AZ4</f>
        <v>16.399999999999999</v>
      </c>
      <c r="CA4">
        <f t="shared" ref="CA4:CA11" si="5">+-1366+94.66*BH4+12.42*AW4-0.01212*AW4^2</f>
        <v>799.13647999999989</v>
      </c>
      <c r="CB4">
        <f t="shared" ref="CB4:CB11" si="6">-BA4+CA4</f>
        <v>-20.863520000000108</v>
      </c>
      <c r="CC4" s="22">
        <f>+CB4/CA4</f>
        <v>-2.6107580522416036E-2</v>
      </c>
      <c r="CE4">
        <f>20.51*AY4+19.52*AW4-2733*BC4-3873*BB4</f>
        <v>-1659.75</v>
      </c>
      <c r="CF4">
        <f>-AX4+CE4</f>
        <v>-1959.75</v>
      </c>
      <c r="CG4" s="22">
        <f>+CF4/CE4</f>
        <v>1.1807501129688207</v>
      </c>
      <c r="CH4">
        <f>26.2291757283225*AY4 + 20.2708197432594*AW4 - 902.910154350431 - AW4*BC4*BH4 - 28.6773595547993*AY4*BB4</f>
        <v>279.35766937376093</v>
      </c>
      <c r="CI4">
        <f>-AX4+CH4</f>
        <v>-20.642330626239072</v>
      </c>
      <c r="CJ4" s="22">
        <f>+CI4/CH4</f>
        <v>-7.3892120708599865E-2</v>
      </c>
      <c r="CK4">
        <f t="shared" ref="CK4:CK11" si="7">26*AY4 + 20*AW4 - 900 - AW4*BC4*BH4 -28*AY4*BB4</f>
        <v>286</v>
      </c>
      <c r="CL4" s="22">
        <f>CK4/CH4-1</f>
        <v>2.3777155075531908E-2</v>
      </c>
    </row>
    <row r="5" spans="1:90" x14ac:dyDescent="0.25">
      <c r="A5" t="str">
        <f>+Existing!B4</f>
        <v>Stanier 'Jubilee (Chaney "Jubilee")</v>
      </c>
      <c r="B5" t="str">
        <f>+Existing!A4</f>
        <v>T___</v>
      </c>
      <c r="C5" t="str">
        <f>+Existing!C4</f>
        <v>15,234 (30,468)</v>
      </c>
      <c r="D5" t="str">
        <f>+Existing!D4</f>
        <v>112 (70)</v>
      </c>
      <c r="E5">
        <f>+Existing!E4</f>
        <v>131</v>
      </c>
      <c r="F5" t="str">
        <f>+Existing!F4</f>
        <v>1,000 (746)</v>
      </c>
      <c r="G5">
        <f>+Existing!G4</f>
        <v>388</v>
      </c>
      <c r="H5" t="str">
        <f>+Existing!H4</f>
        <v>1,968 (3,936)</v>
      </c>
      <c r="I5">
        <f>+Existing!I4</f>
        <v>1934</v>
      </c>
      <c r="J5">
        <f>+Existing!J4</f>
        <v>21</v>
      </c>
      <c r="K5" t="str">
        <f>+Existing!K4</f>
        <v>N/A</v>
      </c>
      <c r="M5" t="s">
        <v>338</v>
      </c>
      <c r="N5">
        <v>13</v>
      </c>
      <c r="O5">
        <f t="shared" ref="O5:O42" si="8">VALUE(LEFT(C5,FIND("(",C5,1)-2))</f>
        <v>15234</v>
      </c>
      <c r="P5">
        <f t="shared" ref="P5:P42" si="9">VALUE(LEFT(D5,FIND("(",D5,1)-2))</f>
        <v>112</v>
      </c>
      <c r="Q5">
        <f t="shared" ref="Q5:Q42" si="10">+E5</f>
        <v>131</v>
      </c>
      <c r="R5">
        <f t="shared" ref="R5:R42" si="11">VALUE(LEFT(F5,FIND("(",F5,1)-2))</f>
        <v>1000</v>
      </c>
      <c r="S5">
        <f t="shared" ref="S5:S42" si="12">+G5</f>
        <v>388</v>
      </c>
      <c r="T5">
        <v>120</v>
      </c>
      <c r="U5" t="s">
        <v>343</v>
      </c>
      <c r="V5">
        <f t="shared" ref="V5:V42" si="13">VALUE(LEFT(H5,FIND("(",H5,1)-2))</f>
        <v>1968</v>
      </c>
      <c r="W5">
        <f t="shared" ref="W5:W42" si="14">+I5</f>
        <v>1934</v>
      </c>
      <c r="X5">
        <f t="shared" ref="X5:X42" si="15">+J5</f>
        <v>21</v>
      </c>
      <c r="AS5">
        <f t="shared" ref="AS5:AS42" si="16">+IF(M5="M",1,0)</f>
        <v>0</v>
      </c>
      <c r="AT5">
        <f t="shared" ref="AT5:AT42" si="17">+IF(M5="G",1,0)</f>
        <v>1</v>
      </c>
      <c r="AU5">
        <f t="shared" ref="AU5:AU42" si="18">+N5</f>
        <v>13</v>
      </c>
      <c r="AV5">
        <f t="shared" ref="AV5:AV42" si="19">+O5</f>
        <v>15234</v>
      </c>
      <c r="AW5">
        <f t="shared" ref="AW5:AW42" si="20">+P5</f>
        <v>112</v>
      </c>
      <c r="AX5">
        <f t="shared" ref="AX5:AX42" si="21">+R5</f>
        <v>1000</v>
      </c>
      <c r="AY5">
        <f t="shared" ref="AY5:AY42" si="22">+Q5</f>
        <v>131</v>
      </c>
      <c r="AZ5">
        <f t="shared" ref="AZ5:AZ42" si="23">+T5</f>
        <v>120</v>
      </c>
      <c r="BA5">
        <f t="shared" ref="BA5:BA42" si="24">+V5</f>
        <v>1968</v>
      </c>
      <c r="BB5">
        <f t="shared" ref="BB5:BB42" si="25">+IF(U5="S",1,0)</f>
        <v>1</v>
      </c>
      <c r="BC5">
        <f t="shared" ref="BC5:BC42" si="26">+IF(U5="D",1,0)</f>
        <v>0</v>
      </c>
      <c r="BD5">
        <f t="shared" ref="BD5:BD42" si="27">+IF(U5="E",1,0)</f>
        <v>0</v>
      </c>
      <c r="BE5">
        <f t="shared" ref="BE5:BE42" si="28">+IF(U5="o",1,0)</f>
        <v>0</v>
      </c>
      <c r="BF5">
        <f t="shared" ref="BF5:BF42" si="29">+IF(U5="l",1,0)</f>
        <v>0</v>
      </c>
      <c r="BG5">
        <f t="shared" ref="BG5:BG42" si="30">+W5</f>
        <v>1934</v>
      </c>
      <c r="BH5">
        <f t="shared" ref="BH5:BH42" si="31">+X5</f>
        <v>21</v>
      </c>
      <c r="BI5">
        <v>1</v>
      </c>
      <c r="BJ5">
        <v>0</v>
      </c>
      <c r="BK5">
        <v>0</v>
      </c>
      <c r="BL5">
        <v>0</v>
      </c>
      <c r="BM5">
        <f t="shared" ref="BM5:BM42" si="32">+S5/Q5</f>
        <v>2.9618320610687023</v>
      </c>
      <c r="BO5">
        <f t="shared" ref="BO5:BO42" si="33">+AX5/AY5</f>
        <v>7.6335877862595423</v>
      </c>
      <c r="BQ5">
        <f t="shared" si="0"/>
        <v>1171.8461538461538</v>
      </c>
      <c r="BR5">
        <f t="shared" si="1"/>
        <v>21302.399999999998</v>
      </c>
      <c r="BS5">
        <f t="shared" si="2"/>
        <v>6068.3999999999978</v>
      </c>
      <c r="BT5">
        <f t="shared" si="3"/>
        <v>17542.294399999999</v>
      </c>
      <c r="BU5">
        <f t="shared" si="4"/>
        <v>2308.2943999999989</v>
      </c>
      <c r="BV5" s="22">
        <f t="shared" ref="BV5:BV42" si="34">+BU5/BT5</f>
        <v>0.13158452066566612</v>
      </c>
      <c r="BW5">
        <f t="shared" ref="BW5:BW42" si="35">300*AW5-14000-0.15*AW5^2-3.5*AX5*BC5</f>
        <v>17718.400000000001</v>
      </c>
      <c r="BX5" s="22">
        <f t="shared" ref="BX5:BX42" si="36">1-BW5/BT5</f>
        <v>-1.0038914863953252E-2</v>
      </c>
      <c r="BZ5">
        <f t="shared" ref="BZ5:BZ42" si="37">+BA5/AZ5</f>
        <v>16.399999999999999</v>
      </c>
      <c r="CA5">
        <f t="shared" si="5"/>
        <v>1860.8667199999998</v>
      </c>
      <c r="CB5">
        <f t="shared" si="6"/>
        <v>-107.13328000000024</v>
      </c>
      <c r="CC5" s="22">
        <f t="shared" ref="CC5:CC42" si="38">+CB5/CA5</f>
        <v>-5.7571710455437804E-2</v>
      </c>
      <c r="CE5">
        <f t="shared" ref="CE5:CE42" si="39">20.51*AY5+19.52*AW5-2733*BC5-3873*BB5</f>
        <v>1000.0500000000002</v>
      </c>
      <c r="CF5">
        <f t="shared" ref="CF5:CF42" si="40">-AX5+CE5</f>
        <v>5.0000000000181899E-2</v>
      </c>
      <c r="CG5" s="22">
        <f t="shared" ref="CG5:CG42" si="41">+CF5/CE5</f>
        <v>4.999750012517563E-5</v>
      </c>
      <c r="CH5">
        <f t="shared" ref="CH5:CH42" si="42">26.2291757283225*AY5 + 20.2708197432594*AW5 - 902.910154350431 - AW5*BC5*BH5 - 28.6773595547993*AY5*BB5</f>
        <v>1046.709575626161</v>
      </c>
      <c r="CI5">
        <f t="shared" ref="CI5:CI42" si="43">-AX5+CH5</f>
        <v>46.70957562616104</v>
      </c>
      <c r="CJ5" s="22">
        <f t="shared" ref="CJ5:CJ42" si="44">+CI5/CH5</f>
        <v>4.4625153637501129E-2</v>
      </c>
      <c r="CK5">
        <f t="shared" si="7"/>
        <v>1078</v>
      </c>
      <c r="CL5" s="22">
        <f t="shared" ref="CL5:CL42" si="45">CK5/CH5-1</f>
        <v>2.9894084378773833E-2</v>
      </c>
    </row>
    <row r="6" spans="1:90" x14ac:dyDescent="0.25">
      <c r="A6" t="str">
        <f>+Existing!B5</f>
        <v>Gresley 'A4' (Ginzu "A4")</v>
      </c>
      <c r="B6" t="str">
        <f>+Existing!A5</f>
        <v>T___</v>
      </c>
      <c r="C6" t="str">
        <f>+Existing!C5</f>
        <v>22,265 (44,530)</v>
      </c>
      <c r="D6" t="str">
        <f>+Existing!D5</f>
        <v>128 (80)</v>
      </c>
      <c r="E6">
        <f>+Existing!E5</f>
        <v>162</v>
      </c>
      <c r="F6" t="str">
        <f>+Existing!F5</f>
        <v>1,200 (895)</v>
      </c>
      <c r="G6">
        <f>+Existing!G5</f>
        <v>480</v>
      </c>
      <c r="H6" t="str">
        <f>+Existing!H5</f>
        <v>2,296 (4,592)</v>
      </c>
      <c r="I6">
        <f>+Existing!I5</f>
        <v>1935</v>
      </c>
      <c r="J6">
        <f>+Existing!J5</f>
        <v>20</v>
      </c>
      <c r="K6" t="str">
        <f>+Existing!K5</f>
        <v>N/A</v>
      </c>
      <c r="M6" t="s">
        <v>338</v>
      </c>
      <c r="N6">
        <v>19</v>
      </c>
      <c r="O6">
        <f t="shared" si="8"/>
        <v>22265</v>
      </c>
      <c r="P6">
        <f t="shared" si="9"/>
        <v>128</v>
      </c>
      <c r="Q6">
        <f t="shared" si="10"/>
        <v>162</v>
      </c>
      <c r="R6">
        <f t="shared" si="11"/>
        <v>1200</v>
      </c>
      <c r="S6">
        <f t="shared" si="12"/>
        <v>480</v>
      </c>
      <c r="T6">
        <v>140</v>
      </c>
      <c r="U6" t="s">
        <v>343</v>
      </c>
      <c r="V6">
        <f t="shared" si="13"/>
        <v>2296</v>
      </c>
      <c r="W6">
        <f t="shared" si="14"/>
        <v>1935</v>
      </c>
      <c r="X6">
        <f t="shared" si="15"/>
        <v>20</v>
      </c>
      <c r="AS6">
        <f t="shared" si="16"/>
        <v>0</v>
      </c>
      <c r="AT6">
        <f t="shared" si="17"/>
        <v>1</v>
      </c>
      <c r="AU6">
        <f t="shared" si="18"/>
        <v>19</v>
      </c>
      <c r="AV6">
        <f t="shared" si="19"/>
        <v>22265</v>
      </c>
      <c r="AW6">
        <f t="shared" si="20"/>
        <v>128</v>
      </c>
      <c r="AX6">
        <f t="shared" si="21"/>
        <v>1200</v>
      </c>
      <c r="AY6">
        <f t="shared" si="22"/>
        <v>162</v>
      </c>
      <c r="AZ6">
        <f t="shared" si="23"/>
        <v>140</v>
      </c>
      <c r="BA6">
        <f t="shared" si="24"/>
        <v>2296</v>
      </c>
      <c r="BB6">
        <f t="shared" si="25"/>
        <v>1</v>
      </c>
      <c r="BC6">
        <f t="shared" si="26"/>
        <v>0</v>
      </c>
      <c r="BD6">
        <f t="shared" si="27"/>
        <v>0</v>
      </c>
      <c r="BE6">
        <f t="shared" si="28"/>
        <v>0</v>
      </c>
      <c r="BF6">
        <f t="shared" si="29"/>
        <v>0</v>
      </c>
      <c r="BG6">
        <f t="shared" si="30"/>
        <v>1935</v>
      </c>
      <c r="BH6">
        <f t="shared" si="31"/>
        <v>20</v>
      </c>
      <c r="BI6">
        <v>1</v>
      </c>
      <c r="BJ6">
        <v>0</v>
      </c>
      <c r="BK6">
        <v>0</v>
      </c>
      <c r="BL6">
        <v>0</v>
      </c>
      <c r="BM6">
        <f t="shared" si="32"/>
        <v>2.9629629629629628</v>
      </c>
      <c r="BO6">
        <f t="shared" si="33"/>
        <v>7.4074074074074074</v>
      </c>
      <c r="BQ6">
        <f t="shared" si="0"/>
        <v>1171.8421052631579</v>
      </c>
      <c r="BR6">
        <f t="shared" si="1"/>
        <v>24345.599999999999</v>
      </c>
      <c r="BS6">
        <f t="shared" si="2"/>
        <v>2080.5999999999985</v>
      </c>
      <c r="BT6">
        <f t="shared" si="3"/>
        <v>21669.078399999999</v>
      </c>
      <c r="BU6">
        <f t="shared" si="4"/>
        <v>-595.92160000000149</v>
      </c>
      <c r="BV6" s="22">
        <f t="shared" si="34"/>
        <v>-2.750101268727707E-2</v>
      </c>
      <c r="BW6">
        <f t="shared" si="35"/>
        <v>21942.400000000001</v>
      </c>
      <c r="BX6" s="22">
        <f t="shared" si="36"/>
        <v>-1.261343906531831E-2</v>
      </c>
      <c r="BZ6">
        <f t="shared" si="37"/>
        <v>16.399999999999999</v>
      </c>
      <c r="CA6">
        <f t="shared" si="5"/>
        <v>1918.3859199999999</v>
      </c>
      <c r="CB6">
        <f t="shared" si="6"/>
        <v>-377.61408000000006</v>
      </c>
      <c r="CC6" s="22">
        <f t="shared" si="38"/>
        <v>-0.19683947638648228</v>
      </c>
      <c r="CE6">
        <f t="shared" si="39"/>
        <v>1948.1800000000003</v>
      </c>
      <c r="CF6">
        <f t="shared" si="40"/>
        <v>748.18000000000029</v>
      </c>
      <c r="CG6" s="22">
        <f t="shared" si="41"/>
        <v>0.38404048907185179</v>
      </c>
      <c r="CH6">
        <f t="shared" si="42"/>
        <v>1295.1489928975307</v>
      </c>
      <c r="CI6">
        <f t="shared" si="43"/>
        <v>95.148992897530661</v>
      </c>
      <c r="CJ6" s="22">
        <f t="shared" si="44"/>
        <v>7.3465673385315788E-2</v>
      </c>
      <c r="CK6">
        <f t="shared" si="7"/>
        <v>1336</v>
      </c>
      <c r="CL6" s="22">
        <f t="shared" si="45"/>
        <v>3.1541550297681686E-2</v>
      </c>
    </row>
    <row r="7" spans="1:90" x14ac:dyDescent="0.25">
      <c r="A7" t="str">
        <f>+Existing!B6</f>
        <v>BR '8P' (SH "8P")</v>
      </c>
      <c r="B7" t="str">
        <f>+Existing!A6</f>
        <v>T___</v>
      </c>
      <c r="C7" t="str">
        <f>+Existing!C6</f>
        <v>25,781 (51,562)</v>
      </c>
      <c r="D7" t="str">
        <f>+Existing!D6</f>
        <v>144 (90)</v>
      </c>
      <c r="E7">
        <f>+Existing!E6</f>
        <v>170</v>
      </c>
      <c r="F7" t="str">
        <f>+Existing!F6</f>
        <v>1,600 (1,193)</v>
      </c>
      <c r="G7">
        <f>+Existing!G6</f>
        <v>504</v>
      </c>
      <c r="H7" t="str">
        <f>+Existing!H6</f>
        <v>2,132 (4,264)</v>
      </c>
      <c r="I7">
        <f>+Existing!I6</f>
        <v>1954</v>
      </c>
      <c r="J7">
        <f>+Existing!J6</f>
        <v>23</v>
      </c>
      <c r="K7" t="str">
        <f>+Existing!K6</f>
        <v>N/A</v>
      </c>
      <c r="M7" t="s">
        <v>338</v>
      </c>
      <c r="N7">
        <v>22</v>
      </c>
      <c r="O7">
        <f t="shared" si="8"/>
        <v>25781</v>
      </c>
      <c r="P7">
        <f t="shared" si="9"/>
        <v>144</v>
      </c>
      <c r="Q7">
        <f t="shared" si="10"/>
        <v>170</v>
      </c>
      <c r="R7">
        <f t="shared" si="11"/>
        <v>1600</v>
      </c>
      <c r="S7">
        <f t="shared" si="12"/>
        <v>504</v>
      </c>
      <c r="T7">
        <v>130</v>
      </c>
      <c r="U7" t="s">
        <v>343</v>
      </c>
      <c r="V7">
        <f t="shared" si="13"/>
        <v>2132</v>
      </c>
      <c r="W7">
        <f t="shared" si="14"/>
        <v>1954</v>
      </c>
      <c r="X7">
        <f t="shared" si="15"/>
        <v>23</v>
      </c>
      <c r="AS7">
        <f t="shared" si="16"/>
        <v>0</v>
      </c>
      <c r="AT7">
        <f t="shared" si="17"/>
        <v>1</v>
      </c>
      <c r="AU7">
        <f t="shared" si="18"/>
        <v>22</v>
      </c>
      <c r="AV7">
        <f t="shared" si="19"/>
        <v>25781</v>
      </c>
      <c r="AW7">
        <f t="shared" si="20"/>
        <v>144</v>
      </c>
      <c r="AX7">
        <f t="shared" si="21"/>
        <v>1600</v>
      </c>
      <c r="AY7">
        <f t="shared" si="22"/>
        <v>170</v>
      </c>
      <c r="AZ7">
        <f t="shared" si="23"/>
        <v>130</v>
      </c>
      <c r="BA7">
        <f t="shared" si="24"/>
        <v>2132</v>
      </c>
      <c r="BB7">
        <f t="shared" si="25"/>
        <v>1</v>
      </c>
      <c r="BC7">
        <f t="shared" si="26"/>
        <v>0</v>
      </c>
      <c r="BD7">
        <f t="shared" si="27"/>
        <v>0</v>
      </c>
      <c r="BE7">
        <f t="shared" si="28"/>
        <v>0</v>
      </c>
      <c r="BF7">
        <f t="shared" si="29"/>
        <v>0</v>
      </c>
      <c r="BG7">
        <f t="shared" si="30"/>
        <v>1954</v>
      </c>
      <c r="BH7">
        <f t="shared" si="31"/>
        <v>23</v>
      </c>
      <c r="BI7">
        <v>1</v>
      </c>
      <c r="BJ7">
        <v>0</v>
      </c>
      <c r="BK7">
        <v>0</v>
      </c>
      <c r="BL7">
        <v>0</v>
      </c>
      <c r="BM7">
        <f t="shared" si="32"/>
        <v>2.9647058823529413</v>
      </c>
      <c r="BO7">
        <f t="shared" si="33"/>
        <v>9.4117647058823533</v>
      </c>
      <c r="BQ7">
        <f t="shared" si="0"/>
        <v>1171.8636363636363</v>
      </c>
      <c r="BR7">
        <f t="shared" si="1"/>
        <v>27388.799999999999</v>
      </c>
      <c r="BS7">
        <f t="shared" si="2"/>
        <v>1607.7999999999993</v>
      </c>
      <c r="BT7">
        <f t="shared" si="3"/>
        <v>25717.833599999998</v>
      </c>
      <c r="BU7">
        <f t="shared" si="4"/>
        <v>-63.166400000001886</v>
      </c>
      <c r="BV7" s="22">
        <f t="shared" si="34"/>
        <v>-2.4561322303602545E-3</v>
      </c>
      <c r="BW7">
        <f t="shared" si="35"/>
        <v>26089.599999999999</v>
      </c>
      <c r="BX7" s="22">
        <f t="shared" si="36"/>
        <v>-1.4455587736596831E-2</v>
      </c>
      <c r="BZ7">
        <f t="shared" si="37"/>
        <v>16.399999999999999</v>
      </c>
      <c r="CA7">
        <f t="shared" si="5"/>
        <v>2348.33968</v>
      </c>
      <c r="CB7">
        <f t="shared" si="6"/>
        <v>216.33968000000004</v>
      </c>
      <c r="CC7" s="22">
        <f t="shared" si="38"/>
        <v>9.2124526039606011E-2</v>
      </c>
      <c r="CE7">
        <f t="shared" si="39"/>
        <v>2424.58</v>
      </c>
      <c r="CF7">
        <f t="shared" si="40"/>
        <v>824.57999999999993</v>
      </c>
      <c r="CG7" s="22">
        <f t="shared" si="41"/>
        <v>0.34009189220401059</v>
      </c>
      <c r="CH7">
        <f t="shared" si="42"/>
        <v>1599.8966381778664</v>
      </c>
      <c r="CI7">
        <f t="shared" si="43"/>
        <v>-0.1033618221335928</v>
      </c>
      <c r="CJ7" s="22">
        <f t="shared" si="44"/>
        <v>-6.4605312410251893E-5</v>
      </c>
      <c r="CK7">
        <f t="shared" si="7"/>
        <v>1640</v>
      </c>
      <c r="CL7" s="22">
        <f t="shared" si="45"/>
        <v>2.5066220445220555E-2</v>
      </c>
    </row>
    <row r="8" spans="1:90" x14ac:dyDescent="0.25">
      <c r="A8" t="str">
        <f>+Existing!B7</f>
        <v>Wills 2-8-0</v>
      </c>
      <c r="B8" t="str">
        <f>+Existing!A7</f>
        <v>_SR_</v>
      </c>
      <c r="C8" t="str">
        <f>+Existing!C7</f>
        <v>16,406 (32,812)</v>
      </c>
      <c r="D8" t="str">
        <f>+Existing!D7</f>
        <v>88 (55)</v>
      </c>
      <c r="E8">
        <f>+Existing!E7</f>
        <v>145</v>
      </c>
      <c r="F8" t="str">
        <f>+Existing!F7</f>
        <v>1,100 (820)</v>
      </c>
      <c r="G8">
        <f>+Existing!G7</f>
        <v>430</v>
      </c>
      <c r="H8" t="str">
        <f>+Existing!H7</f>
        <v>2,132 (4,264)</v>
      </c>
      <c r="I8">
        <f>+Existing!I7</f>
        <v>1945</v>
      </c>
      <c r="J8">
        <f>+Existing!J7</f>
        <v>21</v>
      </c>
      <c r="K8" t="str">
        <f>+Existing!K7</f>
        <v>N/A</v>
      </c>
      <c r="M8" t="s">
        <v>338</v>
      </c>
      <c r="N8">
        <v>14</v>
      </c>
      <c r="O8">
        <f t="shared" si="8"/>
        <v>16406</v>
      </c>
      <c r="P8">
        <f t="shared" si="9"/>
        <v>88</v>
      </c>
      <c r="Q8">
        <f t="shared" si="10"/>
        <v>145</v>
      </c>
      <c r="R8">
        <f t="shared" si="11"/>
        <v>1100</v>
      </c>
      <c r="S8">
        <f t="shared" si="12"/>
        <v>430</v>
      </c>
      <c r="T8">
        <v>130</v>
      </c>
      <c r="U8" t="s">
        <v>343</v>
      </c>
      <c r="V8">
        <f t="shared" si="13"/>
        <v>2132</v>
      </c>
      <c r="W8">
        <f t="shared" si="14"/>
        <v>1945</v>
      </c>
      <c r="X8">
        <f t="shared" si="15"/>
        <v>21</v>
      </c>
      <c r="AS8">
        <f t="shared" si="16"/>
        <v>0</v>
      </c>
      <c r="AT8">
        <f t="shared" si="17"/>
        <v>1</v>
      </c>
      <c r="AU8">
        <f t="shared" si="18"/>
        <v>14</v>
      </c>
      <c r="AV8">
        <f t="shared" si="19"/>
        <v>16406</v>
      </c>
      <c r="AW8">
        <f t="shared" si="20"/>
        <v>88</v>
      </c>
      <c r="AX8">
        <f t="shared" si="21"/>
        <v>1100</v>
      </c>
      <c r="AY8">
        <f t="shared" si="22"/>
        <v>145</v>
      </c>
      <c r="AZ8">
        <f t="shared" si="23"/>
        <v>130</v>
      </c>
      <c r="BA8">
        <f t="shared" si="24"/>
        <v>2132</v>
      </c>
      <c r="BB8">
        <f t="shared" si="25"/>
        <v>1</v>
      </c>
      <c r="BC8">
        <f t="shared" si="26"/>
        <v>0</v>
      </c>
      <c r="BD8">
        <f t="shared" si="27"/>
        <v>0</v>
      </c>
      <c r="BE8">
        <f t="shared" si="28"/>
        <v>0</v>
      </c>
      <c r="BF8">
        <f t="shared" si="29"/>
        <v>0</v>
      </c>
      <c r="BG8">
        <f t="shared" si="30"/>
        <v>1945</v>
      </c>
      <c r="BH8">
        <f t="shared" si="31"/>
        <v>21</v>
      </c>
      <c r="BI8">
        <v>0</v>
      </c>
      <c r="BJ8">
        <v>1</v>
      </c>
      <c r="BK8">
        <v>1</v>
      </c>
      <c r="BL8">
        <v>0</v>
      </c>
      <c r="BM8">
        <f t="shared" si="32"/>
        <v>2.9655172413793105</v>
      </c>
      <c r="BO8">
        <f t="shared" si="33"/>
        <v>7.5862068965517242</v>
      </c>
      <c r="BQ8">
        <f t="shared" si="0"/>
        <v>1171.8571428571429</v>
      </c>
      <c r="BR8">
        <f t="shared" si="1"/>
        <v>16737.599999999999</v>
      </c>
      <c r="BS8">
        <f t="shared" si="2"/>
        <v>331.59999999999854</v>
      </c>
      <c r="BT8">
        <f t="shared" si="3"/>
        <v>11205.814399999999</v>
      </c>
      <c r="BU8">
        <f t="shared" si="4"/>
        <v>-5200.1856000000007</v>
      </c>
      <c r="BV8" s="22">
        <f t="shared" si="34"/>
        <v>-0.4640613715679604</v>
      </c>
      <c r="BW8">
        <f t="shared" si="35"/>
        <v>11238.4</v>
      </c>
      <c r="BX8" s="22">
        <f t="shared" si="36"/>
        <v>-2.9079189460785582E-3</v>
      </c>
      <c r="BZ8">
        <f t="shared" si="37"/>
        <v>16.399999999999999</v>
      </c>
      <c r="CA8">
        <f t="shared" si="5"/>
        <v>1620.96272</v>
      </c>
      <c r="CB8">
        <f t="shared" si="6"/>
        <v>-511.03728000000001</v>
      </c>
      <c r="CC8" s="22">
        <f t="shared" si="38"/>
        <v>-0.31526775643550892</v>
      </c>
      <c r="CE8">
        <f t="shared" si="39"/>
        <v>818.71</v>
      </c>
      <c r="CF8">
        <f t="shared" si="40"/>
        <v>-281.28999999999996</v>
      </c>
      <c r="CG8" s="22">
        <f t="shared" si="41"/>
        <v>-0.34357709078916826</v>
      </c>
      <c r="CH8">
        <f t="shared" si="42"/>
        <v>525.93532821725967</v>
      </c>
      <c r="CI8">
        <f t="shared" si="43"/>
        <v>-574.06467178274033</v>
      </c>
      <c r="CJ8" s="22">
        <f t="shared" si="44"/>
        <v>-1.0915119045693749</v>
      </c>
      <c r="CK8">
        <f t="shared" si="7"/>
        <v>570</v>
      </c>
      <c r="CL8" s="22">
        <f t="shared" si="45"/>
        <v>8.3783441458676E-2</v>
      </c>
    </row>
    <row r="9" spans="1:90" x14ac:dyDescent="0.25">
      <c r="A9" t="str">
        <f>+Existing!B8</f>
        <v>Ploddyphut Choo-Choo</v>
      </c>
      <c r="B9" t="str">
        <f>+Existing!A8</f>
        <v>___Y</v>
      </c>
      <c r="C9" t="str">
        <f>+Existing!C8</f>
        <v>11,718 (23,514)</v>
      </c>
      <c r="D9" t="str">
        <f>+Existing!D8</f>
        <v>72 (45)</v>
      </c>
      <c r="E9">
        <f>+Existing!E8</f>
        <v>85</v>
      </c>
      <c r="F9" t="str">
        <f>+Existing!F8</f>
        <v>400 (298)</v>
      </c>
      <c r="G9">
        <f>+Existing!G8</f>
        <v>252</v>
      </c>
      <c r="H9" t="str">
        <f>+Existing!H8</f>
        <v>1,476 (2,952)</v>
      </c>
      <c r="I9">
        <f>+Existing!I8</f>
        <v>1946</v>
      </c>
      <c r="J9">
        <f>+Existing!J8</f>
        <v>20</v>
      </c>
      <c r="K9" t="str">
        <f>+Existing!K8</f>
        <v>N/A</v>
      </c>
      <c r="M9" t="s">
        <v>338</v>
      </c>
      <c r="N9">
        <v>10</v>
      </c>
      <c r="O9">
        <f t="shared" si="8"/>
        <v>11718</v>
      </c>
      <c r="P9">
        <f t="shared" si="9"/>
        <v>72</v>
      </c>
      <c r="Q9">
        <f t="shared" si="10"/>
        <v>85</v>
      </c>
      <c r="R9">
        <f t="shared" si="11"/>
        <v>400</v>
      </c>
      <c r="S9">
        <f t="shared" si="12"/>
        <v>252</v>
      </c>
      <c r="T9">
        <v>90</v>
      </c>
      <c r="U9" t="s">
        <v>343</v>
      </c>
      <c r="V9">
        <f t="shared" si="13"/>
        <v>1476</v>
      </c>
      <c r="W9">
        <f t="shared" si="14"/>
        <v>1946</v>
      </c>
      <c r="X9">
        <f t="shared" si="15"/>
        <v>20</v>
      </c>
      <c r="AS9">
        <f t="shared" si="16"/>
        <v>0</v>
      </c>
      <c r="AT9">
        <f t="shared" si="17"/>
        <v>1</v>
      </c>
      <c r="AU9">
        <f t="shared" si="18"/>
        <v>10</v>
      </c>
      <c r="AV9">
        <f t="shared" si="19"/>
        <v>11718</v>
      </c>
      <c r="AW9">
        <f t="shared" si="20"/>
        <v>72</v>
      </c>
      <c r="AX9">
        <f t="shared" si="21"/>
        <v>400</v>
      </c>
      <c r="AY9">
        <f t="shared" si="22"/>
        <v>85</v>
      </c>
      <c r="AZ9">
        <f t="shared" si="23"/>
        <v>90</v>
      </c>
      <c r="BA9">
        <f t="shared" si="24"/>
        <v>1476</v>
      </c>
      <c r="BB9">
        <f t="shared" si="25"/>
        <v>1</v>
      </c>
      <c r="BC9">
        <f t="shared" si="26"/>
        <v>0</v>
      </c>
      <c r="BD9">
        <f t="shared" si="27"/>
        <v>0</v>
      </c>
      <c r="BE9">
        <f t="shared" si="28"/>
        <v>0</v>
      </c>
      <c r="BF9">
        <f t="shared" si="29"/>
        <v>0</v>
      </c>
      <c r="BG9">
        <f t="shared" si="30"/>
        <v>1946</v>
      </c>
      <c r="BH9">
        <f t="shared" si="31"/>
        <v>20</v>
      </c>
      <c r="BI9">
        <v>0</v>
      </c>
      <c r="BJ9">
        <v>0</v>
      </c>
      <c r="BK9">
        <v>0</v>
      </c>
      <c r="BL9">
        <v>1</v>
      </c>
      <c r="BM9">
        <f t="shared" si="32"/>
        <v>2.9647058823529413</v>
      </c>
      <c r="BO9">
        <f t="shared" si="33"/>
        <v>4.7058823529411766</v>
      </c>
      <c r="BQ9">
        <f t="shared" si="0"/>
        <v>1171.8</v>
      </c>
      <c r="BR9">
        <f t="shared" si="1"/>
        <v>13694.4</v>
      </c>
      <c r="BS9">
        <f t="shared" si="2"/>
        <v>1976.3999999999996</v>
      </c>
      <c r="BT9">
        <f t="shared" si="3"/>
        <v>6883.9583999999995</v>
      </c>
      <c r="BU9">
        <f t="shared" si="4"/>
        <v>-4834.0416000000005</v>
      </c>
      <c r="BV9" s="22">
        <f t="shared" si="34"/>
        <v>-0.70221830509609129</v>
      </c>
      <c r="BW9">
        <f t="shared" si="35"/>
        <v>6822.4</v>
      </c>
      <c r="BX9" s="22">
        <f t="shared" si="36"/>
        <v>8.9422969203299951E-3</v>
      </c>
      <c r="BZ9">
        <f t="shared" si="37"/>
        <v>16.399999999999999</v>
      </c>
      <c r="CA9">
        <f t="shared" si="5"/>
        <v>1358.6099199999999</v>
      </c>
      <c r="CB9">
        <f t="shared" si="6"/>
        <v>-117.39008000000013</v>
      </c>
      <c r="CC9" s="22">
        <f t="shared" si="38"/>
        <v>-8.6404550910389455E-2</v>
      </c>
      <c r="CE9">
        <f t="shared" si="39"/>
        <v>-724.21</v>
      </c>
      <c r="CF9">
        <f t="shared" si="40"/>
        <v>-1124.21</v>
      </c>
      <c r="CG9" s="22">
        <f t="shared" si="41"/>
        <v>1.5523259827950455</v>
      </c>
      <c r="CH9">
        <f t="shared" si="42"/>
        <v>348.49324191371807</v>
      </c>
      <c r="CI9">
        <f t="shared" si="43"/>
        <v>-51.506758086281934</v>
      </c>
      <c r="CJ9" s="22">
        <f t="shared" si="44"/>
        <v>-0.14779844166686673</v>
      </c>
      <c r="CK9">
        <f t="shared" si="7"/>
        <v>370</v>
      </c>
      <c r="CL9" s="22">
        <f t="shared" si="45"/>
        <v>6.1713558541851787E-2</v>
      </c>
    </row>
    <row r="10" spans="1:90" x14ac:dyDescent="0.25">
      <c r="A10" t="str">
        <f>+Existing!B9</f>
        <v>Powernaut Choo-Choo</v>
      </c>
      <c r="B10" t="str">
        <f>+Existing!A9</f>
        <v>___Y</v>
      </c>
      <c r="C10" t="str">
        <f>+Existing!C9</f>
        <v>17,578 (35,270)</v>
      </c>
      <c r="D10" t="str">
        <f>+Existing!D9</f>
        <v>96 (60)</v>
      </c>
      <c r="E10">
        <f>+Existing!E9</f>
        <v>130</v>
      </c>
      <c r="F10" t="str">
        <f>+Existing!F9</f>
        <v>900 (671)</v>
      </c>
      <c r="G10">
        <f>+Existing!G9</f>
        <v>385</v>
      </c>
      <c r="H10" t="str">
        <f>+Existing!H9</f>
        <v>2,132 (4,264)</v>
      </c>
      <c r="I10">
        <f>+Existing!I9</f>
        <v>1952</v>
      </c>
      <c r="J10">
        <f>+Existing!J9</f>
        <v>20</v>
      </c>
      <c r="K10" t="str">
        <f>+Existing!K9</f>
        <v>N/A</v>
      </c>
      <c r="M10" t="s">
        <v>338</v>
      </c>
      <c r="N10">
        <v>15</v>
      </c>
      <c r="O10">
        <f t="shared" si="8"/>
        <v>17578</v>
      </c>
      <c r="P10">
        <f t="shared" si="9"/>
        <v>96</v>
      </c>
      <c r="Q10">
        <f t="shared" si="10"/>
        <v>130</v>
      </c>
      <c r="R10">
        <f t="shared" si="11"/>
        <v>900</v>
      </c>
      <c r="S10">
        <f t="shared" si="12"/>
        <v>385</v>
      </c>
      <c r="T10">
        <v>130</v>
      </c>
      <c r="U10" t="s">
        <v>343</v>
      </c>
      <c r="V10">
        <f t="shared" si="13"/>
        <v>2132</v>
      </c>
      <c r="W10">
        <f t="shared" si="14"/>
        <v>1952</v>
      </c>
      <c r="X10">
        <f t="shared" si="15"/>
        <v>20</v>
      </c>
      <c r="AS10">
        <f t="shared" si="16"/>
        <v>0</v>
      </c>
      <c r="AT10">
        <f t="shared" si="17"/>
        <v>1</v>
      </c>
      <c r="AU10">
        <f t="shared" si="18"/>
        <v>15</v>
      </c>
      <c r="AV10">
        <f t="shared" si="19"/>
        <v>17578</v>
      </c>
      <c r="AW10">
        <f t="shared" si="20"/>
        <v>96</v>
      </c>
      <c r="AX10">
        <f t="shared" si="21"/>
        <v>900</v>
      </c>
      <c r="AY10">
        <f t="shared" si="22"/>
        <v>130</v>
      </c>
      <c r="AZ10">
        <f t="shared" si="23"/>
        <v>130</v>
      </c>
      <c r="BA10">
        <f t="shared" si="24"/>
        <v>2132</v>
      </c>
      <c r="BB10">
        <f t="shared" si="25"/>
        <v>1</v>
      </c>
      <c r="BC10">
        <f t="shared" si="26"/>
        <v>0</v>
      </c>
      <c r="BD10">
        <f t="shared" si="27"/>
        <v>0</v>
      </c>
      <c r="BE10">
        <f t="shared" si="28"/>
        <v>0</v>
      </c>
      <c r="BF10">
        <f t="shared" si="29"/>
        <v>0</v>
      </c>
      <c r="BG10">
        <f t="shared" si="30"/>
        <v>1952</v>
      </c>
      <c r="BH10">
        <f t="shared" si="31"/>
        <v>20</v>
      </c>
      <c r="BI10">
        <v>0</v>
      </c>
      <c r="BJ10">
        <v>0</v>
      </c>
      <c r="BK10">
        <v>0</v>
      </c>
      <c r="BL10">
        <v>1</v>
      </c>
      <c r="BM10">
        <f t="shared" si="32"/>
        <v>2.9615384615384617</v>
      </c>
      <c r="BO10">
        <f t="shared" si="33"/>
        <v>6.9230769230769234</v>
      </c>
      <c r="BQ10">
        <f t="shared" si="0"/>
        <v>1171.8666666666666</v>
      </c>
      <c r="BR10">
        <f t="shared" si="1"/>
        <v>18259.199999999997</v>
      </c>
      <c r="BS10">
        <f t="shared" si="2"/>
        <v>681.19999999999709</v>
      </c>
      <c r="BT10">
        <f t="shared" si="3"/>
        <v>13337.481599999999</v>
      </c>
      <c r="BU10">
        <f t="shared" si="4"/>
        <v>-4240.5184000000008</v>
      </c>
      <c r="BV10" s="22">
        <f t="shared" si="34"/>
        <v>-0.3179399625188612</v>
      </c>
      <c r="BW10">
        <f t="shared" si="35"/>
        <v>13417.6</v>
      </c>
      <c r="BX10" s="22">
        <f t="shared" si="36"/>
        <v>-6.0070110987071601E-3</v>
      </c>
      <c r="BZ10">
        <f t="shared" si="37"/>
        <v>16.399999999999999</v>
      </c>
      <c r="CA10">
        <f t="shared" si="5"/>
        <v>1607.8220799999997</v>
      </c>
      <c r="CB10">
        <f t="shared" si="6"/>
        <v>-524.17792000000031</v>
      </c>
      <c r="CC10" s="22">
        <f t="shared" si="38"/>
        <v>-0.32601736629963463</v>
      </c>
      <c r="CE10">
        <f t="shared" si="39"/>
        <v>667.22000000000025</v>
      </c>
      <c r="CF10">
        <f t="shared" si="40"/>
        <v>-232.77999999999975</v>
      </c>
      <c r="CG10" s="22">
        <f t="shared" si="41"/>
        <v>-0.3488804292437272</v>
      </c>
      <c r="CH10">
        <f t="shared" si="42"/>
        <v>724.82464356048649</v>
      </c>
      <c r="CI10">
        <f t="shared" si="43"/>
        <v>-175.17535643951351</v>
      </c>
      <c r="CJ10" s="22">
        <f t="shared" si="44"/>
        <v>-0.24167963657943034</v>
      </c>
      <c r="CK10">
        <f t="shared" si="7"/>
        <v>760</v>
      </c>
      <c r="CL10" s="22">
        <f t="shared" si="45"/>
        <v>4.8529470889296711E-2</v>
      </c>
    </row>
    <row r="11" spans="1:90" x14ac:dyDescent="0.25">
      <c r="A11" t="str">
        <f>+Existing!B10</f>
        <v>Mightymover Choo-Choo</v>
      </c>
      <c r="B11" t="str">
        <f>+Existing!A10</f>
        <v>___Y</v>
      </c>
      <c r="C11" t="str">
        <f>+Existing!C10</f>
        <v>22,265 (44,676)</v>
      </c>
      <c r="D11" t="str">
        <f>+Existing!D10</f>
        <v>112 (70)</v>
      </c>
      <c r="E11">
        <f>+Existing!E10</f>
        <v>140</v>
      </c>
      <c r="F11" t="str">
        <f>+Existing!F10</f>
        <v>1,000 (746)</v>
      </c>
      <c r="G11">
        <f>+Existing!G10</f>
        <v>415</v>
      </c>
      <c r="H11" t="str">
        <f>+Existing!H10</f>
        <v>2,378 (4,756)</v>
      </c>
      <c r="I11">
        <f>+Existing!I10</f>
        <v>1967</v>
      </c>
      <c r="J11">
        <f>+Existing!J10</f>
        <v>20</v>
      </c>
      <c r="K11" t="str">
        <f>+Existing!K10</f>
        <v>N/A</v>
      </c>
      <c r="M11" t="s">
        <v>338</v>
      </c>
      <c r="N11">
        <v>19</v>
      </c>
      <c r="O11">
        <f t="shared" si="8"/>
        <v>22265</v>
      </c>
      <c r="P11">
        <f t="shared" si="9"/>
        <v>112</v>
      </c>
      <c r="Q11">
        <f t="shared" si="10"/>
        <v>140</v>
      </c>
      <c r="R11">
        <f t="shared" si="11"/>
        <v>1000</v>
      </c>
      <c r="S11">
        <f t="shared" si="12"/>
        <v>415</v>
      </c>
      <c r="T11">
        <v>145</v>
      </c>
      <c r="U11" t="s">
        <v>343</v>
      </c>
      <c r="V11">
        <f t="shared" si="13"/>
        <v>2378</v>
      </c>
      <c r="W11">
        <f t="shared" si="14"/>
        <v>1967</v>
      </c>
      <c r="X11">
        <f t="shared" si="15"/>
        <v>20</v>
      </c>
      <c r="AS11">
        <f t="shared" si="16"/>
        <v>0</v>
      </c>
      <c r="AT11">
        <f t="shared" si="17"/>
        <v>1</v>
      </c>
      <c r="AU11">
        <f t="shared" si="18"/>
        <v>19</v>
      </c>
      <c r="AV11">
        <f t="shared" si="19"/>
        <v>22265</v>
      </c>
      <c r="AW11">
        <f t="shared" si="20"/>
        <v>112</v>
      </c>
      <c r="AX11">
        <f t="shared" si="21"/>
        <v>1000</v>
      </c>
      <c r="AY11">
        <f t="shared" si="22"/>
        <v>140</v>
      </c>
      <c r="AZ11">
        <f t="shared" si="23"/>
        <v>145</v>
      </c>
      <c r="BA11">
        <f t="shared" si="24"/>
        <v>2378</v>
      </c>
      <c r="BB11">
        <f t="shared" si="25"/>
        <v>1</v>
      </c>
      <c r="BC11">
        <f t="shared" si="26"/>
        <v>0</v>
      </c>
      <c r="BD11">
        <f t="shared" si="27"/>
        <v>0</v>
      </c>
      <c r="BE11">
        <f t="shared" si="28"/>
        <v>0</v>
      </c>
      <c r="BF11">
        <f t="shared" si="29"/>
        <v>0</v>
      </c>
      <c r="BG11">
        <f t="shared" si="30"/>
        <v>1967</v>
      </c>
      <c r="BH11">
        <f t="shared" si="31"/>
        <v>20</v>
      </c>
      <c r="BI11">
        <v>0</v>
      </c>
      <c r="BJ11">
        <v>0</v>
      </c>
      <c r="BK11">
        <v>0</v>
      </c>
      <c r="BL11">
        <v>1</v>
      </c>
      <c r="BM11">
        <f t="shared" si="32"/>
        <v>2.9642857142857144</v>
      </c>
      <c r="BO11">
        <f t="shared" si="33"/>
        <v>7.1428571428571432</v>
      </c>
      <c r="BQ11">
        <f t="shared" si="0"/>
        <v>1171.8421052631579</v>
      </c>
      <c r="BR11">
        <f t="shared" si="1"/>
        <v>21302.399999999998</v>
      </c>
      <c r="BS11">
        <f t="shared" si="2"/>
        <v>-962.60000000000218</v>
      </c>
      <c r="BT11">
        <f t="shared" si="3"/>
        <v>17542.294399999999</v>
      </c>
      <c r="BU11">
        <f t="shared" si="4"/>
        <v>-4722.7056000000011</v>
      </c>
      <c r="BV11" s="22">
        <f t="shared" si="34"/>
        <v>-0.26921823863587657</v>
      </c>
      <c r="BW11">
        <f t="shared" si="35"/>
        <v>17718.400000000001</v>
      </c>
      <c r="BX11" s="22">
        <f t="shared" si="36"/>
        <v>-1.0038914863953252E-2</v>
      </c>
      <c r="BZ11">
        <f t="shared" si="37"/>
        <v>16.399999999999999</v>
      </c>
      <c r="CA11">
        <f t="shared" si="5"/>
        <v>1766.2067199999997</v>
      </c>
      <c r="CB11">
        <f t="shared" si="6"/>
        <v>-611.79328000000032</v>
      </c>
      <c r="CC11" s="22">
        <f t="shared" si="38"/>
        <v>-0.34638826422311453</v>
      </c>
      <c r="CE11">
        <f t="shared" si="39"/>
        <v>1184.6399999999994</v>
      </c>
      <c r="CF11">
        <f t="shared" si="40"/>
        <v>184.63999999999942</v>
      </c>
      <c r="CG11" s="22">
        <f t="shared" si="41"/>
        <v>0.15586169638033454</v>
      </c>
      <c r="CH11">
        <f t="shared" si="42"/>
        <v>1024.6759211878693</v>
      </c>
      <c r="CI11">
        <f t="shared" si="43"/>
        <v>24.675921187869335</v>
      </c>
      <c r="CJ11" s="22">
        <f t="shared" si="44"/>
        <v>2.4081683464625032E-2</v>
      </c>
      <c r="CK11">
        <f t="shared" si="7"/>
        <v>1060</v>
      </c>
      <c r="CL11" s="22">
        <f t="shared" si="45"/>
        <v>3.4473415527497497E-2</v>
      </c>
    </row>
    <row r="12" spans="1:90" x14ac:dyDescent="0.25">
      <c r="BV12" s="22"/>
      <c r="BX12" s="22"/>
      <c r="CC12" s="22"/>
      <c r="CG12" s="22"/>
      <c r="CJ12" s="22"/>
      <c r="CL12" s="22"/>
    </row>
    <row r="13" spans="1:90" x14ac:dyDescent="0.25">
      <c r="A13" t="str">
        <f>+Existing!B12</f>
        <v>Metro Cammell DMU (Manley-Morel DMU)</v>
      </c>
      <c r="B13" t="str">
        <f>+Existing!A12</f>
        <v>T___</v>
      </c>
      <c r="C13" t="str">
        <f>+Existing!C12</f>
        <v>12,890 (25,780)</v>
      </c>
      <c r="D13" t="str">
        <f>+Existing!D12</f>
        <v>112 (70)</v>
      </c>
      <c r="E13">
        <f>+Existing!E12</f>
        <v>32</v>
      </c>
      <c r="F13" t="str">
        <f>+Existing!F12</f>
        <v>600 (447)</v>
      </c>
      <c r="G13">
        <f>+Existing!G12</f>
        <v>95</v>
      </c>
      <c r="H13" t="str">
        <f>+Existing!H12</f>
        <v>1,278 (2,556)</v>
      </c>
      <c r="I13">
        <f>+Existing!I12</f>
        <v>1957</v>
      </c>
      <c r="J13">
        <f>+Existing!J12</f>
        <v>12</v>
      </c>
      <c r="K13" t="str">
        <f>+Existing!K12</f>
        <v>76 pass</v>
      </c>
      <c r="M13" t="s">
        <v>339</v>
      </c>
      <c r="N13">
        <v>11</v>
      </c>
      <c r="O13">
        <f t="shared" ref="O13:O27" si="46">VALUE(LEFT(C13,FIND("(",C13,1)-2))</f>
        <v>12890</v>
      </c>
      <c r="P13">
        <f t="shared" ref="P13:P27" si="47">VALUE(LEFT(D13,FIND("(",D13,1)-2))</f>
        <v>112</v>
      </c>
      <c r="Q13">
        <f t="shared" ref="Q13:Q27" si="48">+E13</f>
        <v>32</v>
      </c>
      <c r="R13">
        <f t="shared" ref="R13:R27" si="49">VALUE(LEFT(F13,FIND("(",F13,1)-2))</f>
        <v>600</v>
      </c>
      <c r="S13">
        <f t="shared" ref="S13:S27" si="50">+G13</f>
        <v>95</v>
      </c>
      <c r="T13">
        <v>85</v>
      </c>
      <c r="U13" t="s">
        <v>344</v>
      </c>
      <c r="V13">
        <f t="shared" ref="V13:V27" si="51">VALUE(LEFT(H13,FIND("(",H13,1)-2))</f>
        <v>1278</v>
      </c>
      <c r="W13">
        <f t="shared" ref="W13:W27" si="52">+I13</f>
        <v>1957</v>
      </c>
      <c r="X13">
        <f t="shared" ref="X13:X27" si="53">+J13</f>
        <v>12</v>
      </c>
      <c r="AS13">
        <f t="shared" si="16"/>
        <v>1</v>
      </c>
      <c r="AT13">
        <f t="shared" si="17"/>
        <v>0</v>
      </c>
      <c r="AU13">
        <f t="shared" si="18"/>
        <v>11</v>
      </c>
      <c r="AV13">
        <f t="shared" si="19"/>
        <v>12890</v>
      </c>
      <c r="AW13">
        <f t="shared" si="20"/>
        <v>112</v>
      </c>
      <c r="AX13">
        <f t="shared" si="21"/>
        <v>600</v>
      </c>
      <c r="AY13">
        <f t="shared" si="22"/>
        <v>32</v>
      </c>
      <c r="AZ13">
        <f t="shared" si="23"/>
        <v>85</v>
      </c>
      <c r="BA13">
        <f t="shared" si="24"/>
        <v>1278</v>
      </c>
      <c r="BB13">
        <f t="shared" si="25"/>
        <v>0</v>
      </c>
      <c r="BC13">
        <f t="shared" si="26"/>
        <v>1</v>
      </c>
      <c r="BD13">
        <f t="shared" si="27"/>
        <v>0</v>
      </c>
      <c r="BE13">
        <f t="shared" si="28"/>
        <v>0</v>
      </c>
      <c r="BF13">
        <f t="shared" si="29"/>
        <v>0</v>
      </c>
      <c r="BG13">
        <f t="shared" si="30"/>
        <v>1957</v>
      </c>
      <c r="BH13">
        <f t="shared" si="31"/>
        <v>12</v>
      </c>
      <c r="BI13">
        <v>1</v>
      </c>
      <c r="BJ13">
        <v>0</v>
      </c>
      <c r="BK13">
        <v>0</v>
      </c>
      <c r="BL13">
        <v>0</v>
      </c>
      <c r="BM13">
        <f t="shared" si="32"/>
        <v>2.96875</v>
      </c>
      <c r="BO13">
        <f t="shared" si="33"/>
        <v>18.75</v>
      </c>
      <c r="BQ13">
        <f t="shared" ref="BQ13:BQ27" si="54">+AV13/AU13</f>
        <v>1171.8181818181818</v>
      </c>
      <c r="BR13">
        <f t="shared" ref="BR13:BR27" si="55">190.2*AW13</f>
        <v>21302.399999999998</v>
      </c>
      <c r="BS13">
        <f t="shared" ref="BS13:BS27" si="56">-AV13+BR13</f>
        <v>8412.3999999999978</v>
      </c>
      <c r="BT13">
        <f t="shared" ref="BT13:BT27" si="57">294.5*AW13-13530-0.1524*AW13^2-3.544*AX13*BC13</f>
        <v>15415.894399999999</v>
      </c>
      <c r="BU13">
        <f t="shared" ref="BU13:BU27" si="58">-AV13+BT13</f>
        <v>2525.8943999999992</v>
      </c>
      <c r="BV13" s="22">
        <f t="shared" si="34"/>
        <v>0.16385000665287375</v>
      </c>
      <c r="BW13">
        <f t="shared" si="35"/>
        <v>15618.400000000001</v>
      </c>
      <c r="BX13" s="22">
        <f t="shared" si="36"/>
        <v>-1.3136156407506316E-2</v>
      </c>
      <c r="BZ13">
        <f t="shared" si="37"/>
        <v>15.035294117647059</v>
      </c>
      <c r="CA13">
        <f t="shared" ref="CA13:CA27" si="59">+-1366+94.66*BH13+12.42*AW13-0.01212*AW13^2</f>
        <v>1008.92672</v>
      </c>
      <c r="CB13">
        <f t="shared" ref="CB13:CB27" si="60">-BA13+CA13</f>
        <v>-269.07327999999995</v>
      </c>
      <c r="CC13" s="22">
        <f t="shared" si="38"/>
        <v>-0.26669258992367645</v>
      </c>
      <c r="CE13">
        <f t="shared" si="39"/>
        <v>109.55999999999995</v>
      </c>
      <c r="CF13">
        <f t="shared" si="40"/>
        <v>-490.44000000000005</v>
      </c>
      <c r="CG13" s="22">
        <f t="shared" si="41"/>
        <v>-4.4764512595837926</v>
      </c>
      <c r="CH13">
        <f t="shared" si="42"/>
        <v>862.75528020094134</v>
      </c>
      <c r="CI13">
        <f t="shared" si="43"/>
        <v>262.75528020094134</v>
      </c>
      <c r="CJ13" s="22">
        <f t="shared" si="44"/>
        <v>0.30455366223866392</v>
      </c>
      <c r="CK13">
        <f t="shared" ref="CK13:CK27" si="61">26*AY13 + 20*AW13 - 900 - AW13*BC13*BH13 -28*AY13*BB13</f>
        <v>828</v>
      </c>
      <c r="CL13" s="22">
        <f t="shared" si="45"/>
        <v>-4.0284053889356186E-2</v>
      </c>
    </row>
    <row r="14" spans="1:90" x14ac:dyDescent="0.25">
      <c r="A14" t="str">
        <f>+Existing!B13</f>
        <v>'Sprinter' ("Dash")</v>
      </c>
      <c r="B14" t="str">
        <f>+Existing!A13</f>
        <v>T___</v>
      </c>
      <c r="C14" t="str">
        <f>+Existing!C13</f>
        <v>16,406 (32,812)</v>
      </c>
      <c r="D14" t="str">
        <f>+Existing!D13</f>
        <v>120 (75)</v>
      </c>
      <c r="E14">
        <f>+Existing!E13</f>
        <v>38</v>
      </c>
      <c r="F14" t="str">
        <f>+Existing!F13</f>
        <v>700 (523)</v>
      </c>
      <c r="G14">
        <f>+Existing!G13</f>
        <v>112</v>
      </c>
      <c r="H14" t="str">
        <f>+Existing!H13</f>
        <v>1,066 (2,132)</v>
      </c>
      <c r="I14">
        <f>+Existing!I13</f>
        <v>1984</v>
      </c>
      <c r="J14">
        <f>+Existing!J13</f>
        <v>15</v>
      </c>
      <c r="K14" t="str">
        <f>+Existing!K13</f>
        <v>80 pass</v>
      </c>
      <c r="M14" t="s">
        <v>339</v>
      </c>
      <c r="N14">
        <v>14</v>
      </c>
      <c r="O14">
        <f t="shared" si="46"/>
        <v>16406</v>
      </c>
      <c r="P14">
        <f t="shared" si="47"/>
        <v>120</v>
      </c>
      <c r="Q14">
        <f t="shared" si="48"/>
        <v>38</v>
      </c>
      <c r="R14">
        <f t="shared" si="49"/>
        <v>700</v>
      </c>
      <c r="S14">
        <f t="shared" si="50"/>
        <v>112</v>
      </c>
      <c r="T14">
        <v>70</v>
      </c>
      <c r="U14" t="s">
        <v>344</v>
      </c>
      <c r="V14">
        <f t="shared" si="51"/>
        <v>1066</v>
      </c>
      <c r="W14">
        <f t="shared" si="52"/>
        <v>1984</v>
      </c>
      <c r="X14">
        <f t="shared" si="53"/>
        <v>15</v>
      </c>
      <c r="AS14">
        <f t="shared" si="16"/>
        <v>1</v>
      </c>
      <c r="AT14">
        <f t="shared" si="17"/>
        <v>0</v>
      </c>
      <c r="AU14">
        <f t="shared" si="18"/>
        <v>14</v>
      </c>
      <c r="AV14">
        <f t="shared" si="19"/>
        <v>16406</v>
      </c>
      <c r="AW14">
        <f t="shared" si="20"/>
        <v>120</v>
      </c>
      <c r="AX14">
        <f t="shared" si="21"/>
        <v>700</v>
      </c>
      <c r="AY14">
        <f t="shared" si="22"/>
        <v>38</v>
      </c>
      <c r="AZ14">
        <f t="shared" si="23"/>
        <v>70</v>
      </c>
      <c r="BA14">
        <f t="shared" si="24"/>
        <v>1066</v>
      </c>
      <c r="BB14">
        <f t="shared" si="25"/>
        <v>0</v>
      </c>
      <c r="BC14">
        <f t="shared" si="26"/>
        <v>1</v>
      </c>
      <c r="BD14">
        <f t="shared" si="27"/>
        <v>0</v>
      </c>
      <c r="BE14">
        <f t="shared" si="28"/>
        <v>0</v>
      </c>
      <c r="BF14">
        <f t="shared" si="29"/>
        <v>0</v>
      </c>
      <c r="BG14">
        <f t="shared" si="30"/>
        <v>1984</v>
      </c>
      <c r="BH14">
        <f t="shared" si="31"/>
        <v>15</v>
      </c>
      <c r="BI14">
        <v>1</v>
      </c>
      <c r="BJ14">
        <v>0</v>
      </c>
      <c r="BK14">
        <v>0</v>
      </c>
      <c r="BL14">
        <v>0</v>
      </c>
      <c r="BM14">
        <f t="shared" si="32"/>
        <v>2.9473684210526314</v>
      </c>
      <c r="BO14">
        <f t="shared" si="33"/>
        <v>18.421052631578949</v>
      </c>
      <c r="BQ14">
        <f t="shared" si="54"/>
        <v>1171.8571428571429</v>
      </c>
      <c r="BR14">
        <f t="shared" si="55"/>
        <v>22824</v>
      </c>
      <c r="BS14">
        <f t="shared" si="56"/>
        <v>6418</v>
      </c>
      <c r="BT14">
        <f t="shared" si="57"/>
        <v>17134.64</v>
      </c>
      <c r="BU14">
        <f t="shared" si="58"/>
        <v>728.63999999999942</v>
      </c>
      <c r="BV14" s="22">
        <f t="shared" si="34"/>
        <v>4.2524383354421186E-2</v>
      </c>
      <c r="BW14">
        <f t="shared" si="35"/>
        <v>17390</v>
      </c>
      <c r="BX14" s="22">
        <f t="shared" si="36"/>
        <v>-1.4903143573486322E-2</v>
      </c>
      <c r="BZ14">
        <f t="shared" si="37"/>
        <v>15.228571428571428</v>
      </c>
      <c r="CA14">
        <f t="shared" si="59"/>
        <v>1369.7719999999999</v>
      </c>
      <c r="CB14">
        <f t="shared" si="60"/>
        <v>303.77199999999993</v>
      </c>
      <c r="CC14" s="22">
        <f t="shared" si="38"/>
        <v>0.22176829428547229</v>
      </c>
      <c r="CE14">
        <f t="shared" si="39"/>
        <v>388.7800000000002</v>
      </c>
      <c r="CF14">
        <f t="shared" si="40"/>
        <v>-311.2199999999998</v>
      </c>
      <c r="CG14" s="22">
        <f t="shared" si="41"/>
        <v>-0.80050414115952373</v>
      </c>
      <c r="CH14">
        <f t="shared" si="42"/>
        <v>726.29689251695163</v>
      </c>
      <c r="CI14">
        <f t="shared" si="43"/>
        <v>26.29689251695163</v>
      </c>
      <c r="CJ14" s="22">
        <f t="shared" si="44"/>
        <v>3.6206808521265794E-2</v>
      </c>
      <c r="CK14">
        <f t="shared" si="61"/>
        <v>688</v>
      </c>
      <c r="CL14" s="22">
        <f t="shared" si="45"/>
        <v>-5.2728977518044062E-2</v>
      </c>
    </row>
    <row r="15" spans="1:90" x14ac:dyDescent="0.25">
      <c r="A15" t="str">
        <f>+Existing!B14</f>
        <v>BR/Sulzer '25' (SH/Hendry "25")</v>
      </c>
      <c r="B15" t="str">
        <f>+Existing!A14</f>
        <v>T___</v>
      </c>
      <c r="C15" t="str">
        <f>+Existing!C14</f>
        <v>17,578 (35,156)</v>
      </c>
      <c r="D15" t="str">
        <f>+Existing!D14</f>
        <v>128 (80)</v>
      </c>
      <c r="E15">
        <f>+Existing!E14</f>
        <v>72</v>
      </c>
      <c r="F15" t="str">
        <f>+Existing!F14</f>
        <v>1,250 (932)</v>
      </c>
      <c r="G15">
        <f>+Existing!G14</f>
        <v>213</v>
      </c>
      <c r="H15" t="str">
        <f>+Existing!H14</f>
        <v>1,447 (2,894)</v>
      </c>
      <c r="I15">
        <f>+Existing!I14</f>
        <v>1962</v>
      </c>
      <c r="J15">
        <f>+Existing!J14</f>
        <v>18</v>
      </c>
      <c r="K15" t="str">
        <f>+Existing!K14</f>
        <v>N/A</v>
      </c>
      <c r="M15" t="s">
        <v>338</v>
      </c>
      <c r="N15">
        <v>15</v>
      </c>
      <c r="O15">
        <f t="shared" si="46"/>
        <v>17578</v>
      </c>
      <c r="P15">
        <f t="shared" si="47"/>
        <v>128</v>
      </c>
      <c r="Q15">
        <f t="shared" si="48"/>
        <v>72</v>
      </c>
      <c r="R15">
        <f t="shared" si="49"/>
        <v>1250</v>
      </c>
      <c r="S15">
        <f t="shared" si="50"/>
        <v>213</v>
      </c>
      <c r="T15">
        <v>95</v>
      </c>
      <c r="U15" t="s">
        <v>344</v>
      </c>
      <c r="V15">
        <f t="shared" si="51"/>
        <v>1447</v>
      </c>
      <c r="W15">
        <f t="shared" si="52"/>
        <v>1962</v>
      </c>
      <c r="X15">
        <f t="shared" si="53"/>
        <v>18</v>
      </c>
      <c r="AS15">
        <f t="shared" si="16"/>
        <v>0</v>
      </c>
      <c r="AT15">
        <f t="shared" si="17"/>
        <v>1</v>
      </c>
      <c r="AU15">
        <f t="shared" si="18"/>
        <v>15</v>
      </c>
      <c r="AV15">
        <f t="shared" si="19"/>
        <v>17578</v>
      </c>
      <c r="AW15">
        <f t="shared" si="20"/>
        <v>128</v>
      </c>
      <c r="AX15">
        <f t="shared" si="21"/>
        <v>1250</v>
      </c>
      <c r="AY15">
        <f t="shared" si="22"/>
        <v>72</v>
      </c>
      <c r="AZ15">
        <f t="shared" si="23"/>
        <v>95</v>
      </c>
      <c r="BA15">
        <f t="shared" si="24"/>
        <v>1447</v>
      </c>
      <c r="BB15">
        <f t="shared" si="25"/>
        <v>0</v>
      </c>
      <c r="BC15">
        <f t="shared" si="26"/>
        <v>1</v>
      </c>
      <c r="BD15">
        <f t="shared" si="27"/>
        <v>0</v>
      </c>
      <c r="BE15">
        <f t="shared" si="28"/>
        <v>0</v>
      </c>
      <c r="BF15">
        <f t="shared" si="29"/>
        <v>0</v>
      </c>
      <c r="BG15">
        <f t="shared" si="30"/>
        <v>1962</v>
      </c>
      <c r="BH15">
        <f t="shared" si="31"/>
        <v>18</v>
      </c>
      <c r="BI15">
        <v>1</v>
      </c>
      <c r="BJ15">
        <v>0</v>
      </c>
      <c r="BK15">
        <v>0</v>
      </c>
      <c r="BL15">
        <v>0</v>
      </c>
      <c r="BM15">
        <f t="shared" si="32"/>
        <v>2.9583333333333335</v>
      </c>
      <c r="BO15">
        <f t="shared" si="33"/>
        <v>17.361111111111111</v>
      </c>
      <c r="BQ15">
        <f t="shared" si="54"/>
        <v>1171.8666666666666</v>
      </c>
      <c r="BR15">
        <f t="shared" si="55"/>
        <v>24345.599999999999</v>
      </c>
      <c r="BS15">
        <f t="shared" si="56"/>
        <v>6767.5999999999985</v>
      </c>
      <c r="BT15">
        <f t="shared" si="57"/>
        <v>17239.078399999999</v>
      </c>
      <c r="BU15">
        <f t="shared" si="58"/>
        <v>-338.92160000000149</v>
      </c>
      <c r="BV15" s="22">
        <f t="shared" si="34"/>
        <v>-1.9660076492256193E-2</v>
      </c>
      <c r="BW15">
        <f t="shared" si="35"/>
        <v>17567.400000000001</v>
      </c>
      <c r="BX15" s="22">
        <f t="shared" si="36"/>
        <v>-1.9045194434524015E-2</v>
      </c>
      <c r="BZ15">
        <f t="shared" si="37"/>
        <v>15.231578947368421</v>
      </c>
      <c r="CA15">
        <f t="shared" si="59"/>
        <v>1729.0659199999998</v>
      </c>
      <c r="CB15">
        <f t="shared" si="60"/>
        <v>282.06591999999978</v>
      </c>
      <c r="CC15" s="22">
        <f t="shared" si="38"/>
        <v>0.16313196433829419</v>
      </c>
      <c r="CE15">
        <f t="shared" si="39"/>
        <v>1242.2799999999997</v>
      </c>
      <c r="CF15">
        <f t="shared" si="40"/>
        <v>-7.7200000000002547</v>
      </c>
      <c r="CG15" s="22">
        <f t="shared" si="41"/>
        <v>-6.2143800109478184E-3</v>
      </c>
      <c r="CH15">
        <f t="shared" si="42"/>
        <v>1276.2554252259915</v>
      </c>
      <c r="CI15">
        <f t="shared" si="43"/>
        <v>26.25542522599153</v>
      </c>
      <c r="CJ15" s="22">
        <f t="shared" si="44"/>
        <v>2.0572233979998463E-2</v>
      </c>
      <c r="CK15">
        <f t="shared" si="61"/>
        <v>1228</v>
      </c>
      <c r="CL15" s="22">
        <f t="shared" si="45"/>
        <v>-3.7810162661950475E-2</v>
      </c>
    </row>
    <row r="16" spans="1:90" x14ac:dyDescent="0.25">
      <c r="A16" t="str">
        <f>+Existing!B15</f>
        <v>EE '37' (UU "37")</v>
      </c>
      <c r="B16" t="str">
        <f>+Existing!A15</f>
        <v>T___</v>
      </c>
      <c r="C16" t="str">
        <f>+Existing!C15</f>
        <v>19,921 (39,842)</v>
      </c>
      <c r="D16" t="str">
        <f>+Existing!D15</f>
        <v>144 (90)</v>
      </c>
      <c r="E16">
        <f>+Existing!E15</f>
        <v>101</v>
      </c>
      <c r="F16" t="str">
        <f>+Existing!F15</f>
        <v>1,750 (1,305)</v>
      </c>
      <c r="G16">
        <f>+Existing!G15</f>
        <v>299</v>
      </c>
      <c r="H16" t="str">
        <f>+Existing!H15</f>
        <v>1,828 (3,656)</v>
      </c>
      <c r="I16">
        <f>+Existing!I15</f>
        <v>1959</v>
      </c>
      <c r="J16">
        <f>+Existing!J15</f>
        <v>20</v>
      </c>
      <c r="K16" t="str">
        <f>+Existing!K15</f>
        <v>N/A</v>
      </c>
      <c r="M16" t="s">
        <v>338</v>
      </c>
      <c r="N16">
        <v>17</v>
      </c>
      <c r="O16">
        <f t="shared" si="46"/>
        <v>19921</v>
      </c>
      <c r="P16">
        <f t="shared" si="47"/>
        <v>144</v>
      </c>
      <c r="Q16">
        <f t="shared" si="48"/>
        <v>101</v>
      </c>
      <c r="R16">
        <f t="shared" si="49"/>
        <v>1750</v>
      </c>
      <c r="S16">
        <f t="shared" si="50"/>
        <v>299</v>
      </c>
      <c r="T16">
        <v>120</v>
      </c>
      <c r="U16" t="s">
        <v>344</v>
      </c>
      <c r="V16">
        <f t="shared" si="51"/>
        <v>1828</v>
      </c>
      <c r="W16">
        <f t="shared" si="52"/>
        <v>1959</v>
      </c>
      <c r="X16">
        <f t="shared" si="53"/>
        <v>20</v>
      </c>
      <c r="AS16">
        <f t="shared" si="16"/>
        <v>0</v>
      </c>
      <c r="AT16">
        <f t="shared" si="17"/>
        <v>1</v>
      </c>
      <c r="AU16">
        <f t="shared" si="18"/>
        <v>17</v>
      </c>
      <c r="AV16">
        <f t="shared" si="19"/>
        <v>19921</v>
      </c>
      <c r="AW16">
        <f t="shared" si="20"/>
        <v>144</v>
      </c>
      <c r="AX16">
        <f t="shared" si="21"/>
        <v>1750</v>
      </c>
      <c r="AY16">
        <f t="shared" si="22"/>
        <v>101</v>
      </c>
      <c r="AZ16">
        <f t="shared" si="23"/>
        <v>120</v>
      </c>
      <c r="BA16">
        <f t="shared" si="24"/>
        <v>1828</v>
      </c>
      <c r="BB16">
        <f t="shared" si="25"/>
        <v>0</v>
      </c>
      <c r="BC16">
        <f t="shared" si="26"/>
        <v>1</v>
      </c>
      <c r="BD16">
        <f t="shared" si="27"/>
        <v>0</v>
      </c>
      <c r="BE16">
        <f t="shared" si="28"/>
        <v>0</v>
      </c>
      <c r="BF16">
        <f t="shared" si="29"/>
        <v>0</v>
      </c>
      <c r="BG16">
        <f t="shared" si="30"/>
        <v>1959</v>
      </c>
      <c r="BH16">
        <f t="shared" si="31"/>
        <v>20</v>
      </c>
      <c r="BI16">
        <v>1</v>
      </c>
      <c r="BJ16">
        <v>0</v>
      </c>
      <c r="BK16">
        <v>0</v>
      </c>
      <c r="BL16">
        <v>0</v>
      </c>
      <c r="BM16">
        <f t="shared" si="32"/>
        <v>2.9603960396039604</v>
      </c>
      <c r="BO16">
        <f t="shared" si="33"/>
        <v>17.326732673267326</v>
      </c>
      <c r="BQ16">
        <f t="shared" si="54"/>
        <v>1171.8235294117646</v>
      </c>
      <c r="BR16">
        <f t="shared" si="55"/>
        <v>27388.799999999999</v>
      </c>
      <c r="BS16">
        <f t="shared" si="56"/>
        <v>7467.7999999999993</v>
      </c>
      <c r="BT16">
        <f t="shared" si="57"/>
        <v>19515.833599999998</v>
      </c>
      <c r="BU16">
        <f t="shared" si="58"/>
        <v>-405.16640000000189</v>
      </c>
      <c r="BV16" s="22">
        <f t="shared" si="34"/>
        <v>-2.0760906672211119E-2</v>
      </c>
      <c r="BW16">
        <f t="shared" si="35"/>
        <v>19964.599999999999</v>
      </c>
      <c r="BX16" s="22">
        <f t="shared" si="36"/>
        <v>-2.2994990078210265E-2</v>
      </c>
      <c r="BZ16">
        <f t="shared" si="37"/>
        <v>15.233333333333333</v>
      </c>
      <c r="CA16">
        <f t="shared" si="59"/>
        <v>2064.35968</v>
      </c>
      <c r="CB16">
        <f t="shared" si="60"/>
        <v>236.35968000000003</v>
      </c>
      <c r="CC16" s="22">
        <f t="shared" si="38"/>
        <v>0.11449539646114383</v>
      </c>
      <c r="CE16">
        <f t="shared" si="39"/>
        <v>2149.3900000000003</v>
      </c>
      <c r="CF16">
        <f t="shared" si="40"/>
        <v>399.39000000000033</v>
      </c>
      <c r="CG16" s="22">
        <f t="shared" si="41"/>
        <v>0.18581551044715025</v>
      </c>
      <c r="CH16">
        <f t="shared" si="42"/>
        <v>1785.234637239495</v>
      </c>
      <c r="CI16">
        <f t="shared" si="43"/>
        <v>35.234637239494987</v>
      </c>
      <c r="CJ16" s="22">
        <f t="shared" si="44"/>
        <v>1.9736698193341264E-2</v>
      </c>
      <c r="CK16">
        <f t="shared" si="61"/>
        <v>1726</v>
      </c>
      <c r="CL16" s="22">
        <f t="shared" si="45"/>
        <v>-3.3180309189546842E-2</v>
      </c>
    </row>
    <row r="17" spans="1:90" x14ac:dyDescent="0.25">
      <c r="A17" t="str">
        <f>+Existing!B16</f>
        <v>Brush '47' (Floss "47")</v>
      </c>
      <c r="B17" t="str">
        <f>+Existing!A16</f>
        <v>T___</v>
      </c>
      <c r="C17" t="str">
        <f>+Existing!C16</f>
        <v>21,093 (42,186)</v>
      </c>
      <c r="D17" t="str">
        <f>+Existing!D16</f>
        <v>160 (100)</v>
      </c>
      <c r="E17">
        <f>+Existing!E16</f>
        <v>112</v>
      </c>
      <c r="F17" t="str">
        <f>+Existing!F16</f>
        <v>2,580 (1,924)</v>
      </c>
      <c r="G17">
        <f>+Existing!G16</f>
        <v>332</v>
      </c>
      <c r="H17" t="str">
        <f>+Existing!H16</f>
        <v>2,132 (4,264)</v>
      </c>
      <c r="I17">
        <f>+Existing!I16</f>
        <v>1963</v>
      </c>
      <c r="J17">
        <f>+Existing!J16</f>
        <v>22</v>
      </c>
      <c r="K17" t="str">
        <f>+Existing!K16</f>
        <v>N/A</v>
      </c>
      <c r="M17" t="s">
        <v>338</v>
      </c>
      <c r="N17">
        <v>18</v>
      </c>
      <c r="O17">
        <f t="shared" si="46"/>
        <v>21093</v>
      </c>
      <c r="P17">
        <f t="shared" si="47"/>
        <v>160</v>
      </c>
      <c r="Q17">
        <f t="shared" si="48"/>
        <v>112</v>
      </c>
      <c r="R17">
        <f t="shared" si="49"/>
        <v>2580</v>
      </c>
      <c r="S17">
        <f t="shared" si="50"/>
        <v>332</v>
      </c>
      <c r="T17">
        <v>140</v>
      </c>
      <c r="U17" t="s">
        <v>344</v>
      </c>
      <c r="V17">
        <f t="shared" si="51"/>
        <v>2132</v>
      </c>
      <c r="W17">
        <f t="shared" si="52"/>
        <v>1963</v>
      </c>
      <c r="X17">
        <f t="shared" si="53"/>
        <v>22</v>
      </c>
      <c r="AS17">
        <f t="shared" si="16"/>
        <v>0</v>
      </c>
      <c r="AT17">
        <f t="shared" si="17"/>
        <v>1</v>
      </c>
      <c r="AU17">
        <f t="shared" si="18"/>
        <v>18</v>
      </c>
      <c r="AV17">
        <f t="shared" si="19"/>
        <v>21093</v>
      </c>
      <c r="AW17">
        <f t="shared" si="20"/>
        <v>160</v>
      </c>
      <c r="AX17">
        <f t="shared" si="21"/>
        <v>2580</v>
      </c>
      <c r="AY17">
        <f t="shared" si="22"/>
        <v>112</v>
      </c>
      <c r="AZ17">
        <f t="shared" si="23"/>
        <v>140</v>
      </c>
      <c r="BA17">
        <f t="shared" si="24"/>
        <v>2132</v>
      </c>
      <c r="BB17">
        <f t="shared" si="25"/>
        <v>0</v>
      </c>
      <c r="BC17">
        <f t="shared" si="26"/>
        <v>1</v>
      </c>
      <c r="BD17">
        <f t="shared" si="27"/>
        <v>0</v>
      </c>
      <c r="BE17">
        <f t="shared" si="28"/>
        <v>0</v>
      </c>
      <c r="BF17">
        <f t="shared" si="29"/>
        <v>0</v>
      </c>
      <c r="BG17">
        <f t="shared" si="30"/>
        <v>1963</v>
      </c>
      <c r="BH17">
        <f t="shared" si="31"/>
        <v>22</v>
      </c>
      <c r="BI17">
        <v>1</v>
      </c>
      <c r="BJ17">
        <v>0</v>
      </c>
      <c r="BK17">
        <v>0</v>
      </c>
      <c r="BL17">
        <v>0</v>
      </c>
      <c r="BM17">
        <f t="shared" si="32"/>
        <v>2.9642857142857144</v>
      </c>
      <c r="BO17">
        <f t="shared" si="33"/>
        <v>23.035714285714285</v>
      </c>
      <c r="BQ17">
        <f t="shared" si="54"/>
        <v>1171.8333333333333</v>
      </c>
      <c r="BR17">
        <f t="shared" si="55"/>
        <v>30432</v>
      </c>
      <c r="BS17">
        <f t="shared" si="56"/>
        <v>9339</v>
      </c>
      <c r="BT17">
        <f t="shared" si="57"/>
        <v>20545.04</v>
      </c>
      <c r="BU17">
        <f t="shared" si="58"/>
        <v>-547.95999999999913</v>
      </c>
      <c r="BV17" s="22">
        <f t="shared" si="34"/>
        <v>-2.6671157612737629E-2</v>
      </c>
      <c r="BW17">
        <f t="shared" si="35"/>
        <v>21130</v>
      </c>
      <c r="BX17" s="22">
        <f t="shared" si="36"/>
        <v>-2.8472078905662723E-2</v>
      </c>
      <c r="BZ17">
        <f t="shared" si="37"/>
        <v>15.228571428571428</v>
      </c>
      <c r="CA17">
        <f t="shared" si="59"/>
        <v>2393.4480000000003</v>
      </c>
      <c r="CB17">
        <f t="shared" si="60"/>
        <v>261.44800000000032</v>
      </c>
      <c r="CC17" s="22">
        <f t="shared" si="38"/>
        <v>0.10923487788328816</v>
      </c>
      <c r="CE17">
        <f t="shared" si="39"/>
        <v>2687.3199999999997</v>
      </c>
      <c r="CF17">
        <f t="shared" si="40"/>
        <v>107.31999999999971</v>
      </c>
      <c r="CG17" s="22">
        <f t="shared" si="41"/>
        <v>3.9935698018843946E-2</v>
      </c>
      <c r="CH17">
        <f t="shared" si="42"/>
        <v>1758.0886861431918</v>
      </c>
      <c r="CI17">
        <f t="shared" si="43"/>
        <v>-821.91131385680819</v>
      </c>
      <c r="CJ17" s="22">
        <f t="shared" si="44"/>
        <v>-0.46750276043234013</v>
      </c>
      <c r="CK17">
        <f t="shared" si="61"/>
        <v>1692</v>
      </c>
      <c r="CL17" s="22">
        <f t="shared" si="45"/>
        <v>-3.7591212925767614E-2</v>
      </c>
    </row>
    <row r="18" spans="1:90" x14ac:dyDescent="0.25">
      <c r="A18" t="str">
        <f>+Existing!B17</f>
        <v>BR 'IC125' (SH "125")</v>
      </c>
      <c r="B18" t="str">
        <f>+Existing!A17</f>
        <v>T___</v>
      </c>
      <c r="C18" t="str">
        <f>+Existing!C17</f>
        <v>23,437 (46,874)</v>
      </c>
      <c r="D18" t="str">
        <f>+Existing!D17</f>
        <v>201 (125)</v>
      </c>
      <c r="E18">
        <f>+Existing!E17</f>
        <v>70</v>
      </c>
      <c r="F18" t="str">
        <f>+Existing!F17</f>
        <v>4,500 (3,356)</v>
      </c>
      <c r="G18">
        <f>+Existing!G17</f>
        <v>207</v>
      </c>
      <c r="H18" t="str">
        <f>+Existing!H17</f>
        <v>2,894 (5,788)</v>
      </c>
      <c r="I18">
        <f>+Existing!I17</f>
        <v>1978</v>
      </c>
      <c r="J18">
        <f>+Existing!J17</f>
        <v>20</v>
      </c>
      <c r="K18" t="str">
        <f>+Existing!K17</f>
        <v>8 mail</v>
      </c>
      <c r="M18" t="s">
        <v>339</v>
      </c>
      <c r="N18">
        <v>20</v>
      </c>
      <c r="O18">
        <f t="shared" si="46"/>
        <v>23437</v>
      </c>
      <c r="P18">
        <f t="shared" si="47"/>
        <v>201</v>
      </c>
      <c r="Q18">
        <f t="shared" si="48"/>
        <v>70</v>
      </c>
      <c r="R18">
        <f t="shared" si="49"/>
        <v>4500</v>
      </c>
      <c r="S18">
        <f t="shared" si="50"/>
        <v>207</v>
      </c>
      <c r="T18">
        <v>190</v>
      </c>
      <c r="U18" t="s">
        <v>344</v>
      </c>
      <c r="V18">
        <f t="shared" si="51"/>
        <v>2894</v>
      </c>
      <c r="W18">
        <f t="shared" si="52"/>
        <v>1978</v>
      </c>
      <c r="X18">
        <f t="shared" si="53"/>
        <v>20</v>
      </c>
      <c r="AS18">
        <f t="shared" si="16"/>
        <v>1</v>
      </c>
      <c r="AT18">
        <f t="shared" si="17"/>
        <v>0</v>
      </c>
      <c r="AU18">
        <f t="shared" si="18"/>
        <v>20</v>
      </c>
      <c r="AV18">
        <f t="shared" si="19"/>
        <v>23437</v>
      </c>
      <c r="AW18">
        <f t="shared" si="20"/>
        <v>201</v>
      </c>
      <c r="AX18">
        <f t="shared" si="21"/>
        <v>4500</v>
      </c>
      <c r="AY18">
        <f t="shared" si="22"/>
        <v>70</v>
      </c>
      <c r="AZ18">
        <f t="shared" si="23"/>
        <v>190</v>
      </c>
      <c r="BA18">
        <f t="shared" si="24"/>
        <v>2894</v>
      </c>
      <c r="BB18">
        <f t="shared" si="25"/>
        <v>0</v>
      </c>
      <c r="BC18">
        <f t="shared" si="26"/>
        <v>1</v>
      </c>
      <c r="BD18">
        <f t="shared" si="27"/>
        <v>0</v>
      </c>
      <c r="BE18">
        <f t="shared" si="28"/>
        <v>0</v>
      </c>
      <c r="BF18">
        <f t="shared" si="29"/>
        <v>0</v>
      </c>
      <c r="BG18">
        <f t="shared" si="30"/>
        <v>1978</v>
      </c>
      <c r="BH18">
        <f t="shared" si="31"/>
        <v>20</v>
      </c>
      <c r="BI18">
        <v>1</v>
      </c>
      <c r="BJ18">
        <v>0</v>
      </c>
      <c r="BK18">
        <v>0</v>
      </c>
      <c r="BL18">
        <v>0</v>
      </c>
      <c r="BM18">
        <f t="shared" si="32"/>
        <v>2.9571428571428573</v>
      </c>
      <c r="BO18">
        <f t="shared" si="33"/>
        <v>64.285714285714292</v>
      </c>
      <c r="BQ18">
        <f t="shared" si="54"/>
        <v>1171.8499999999999</v>
      </c>
      <c r="BR18">
        <f t="shared" si="55"/>
        <v>38230.199999999997</v>
      </c>
      <c r="BS18">
        <f t="shared" si="56"/>
        <v>14793.199999999997</v>
      </c>
      <c r="BT18">
        <f t="shared" si="57"/>
        <v>23559.387600000002</v>
      </c>
      <c r="BU18">
        <f t="shared" si="58"/>
        <v>122.38760000000184</v>
      </c>
      <c r="BV18" s="22">
        <f t="shared" si="34"/>
        <v>5.1948548951247708E-3</v>
      </c>
      <c r="BW18">
        <f t="shared" si="35"/>
        <v>24489.85</v>
      </c>
      <c r="BX18" s="22">
        <f t="shared" si="36"/>
        <v>-3.9494337280651326E-2</v>
      </c>
      <c r="BZ18">
        <f t="shared" si="37"/>
        <v>15.231578947368421</v>
      </c>
      <c r="CA18">
        <f t="shared" si="59"/>
        <v>2533.9598799999999</v>
      </c>
      <c r="CB18">
        <f t="shared" si="60"/>
        <v>-360.04012000000012</v>
      </c>
      <c r="CC18" s="22">
        <f t="shared" si="38"/>
        <v>-0.14208595915101865</v>
      </c>
      <c r="CE18">
        <f t="shared" si="39"/>
        <v>2626.2200000000003</v>
      </c>
      <c r="CF18">
        <f t="shared" si="40"/>
        <v>-1873.7799999999997</v>
      </c>
      <c r="CG18" s="22">
        <f t="shared" si="41"/>
        <v>-0.71348934971175282</v>
      </c>
      <c r="CH18">
        <f t="shared" si="42"/>
        <v>987.56691502728245</v>
      </c>
      <c r="CI18">
        <f t="shared" si="43"/>
        <v>-3512.4330849727176</v>
      </c>
      <c r="CJ18" s="22">
        <f t="shared" si="44"/>
        <v>-3.5566532571371972</v>
      </c>
      <c r="CK18">
        <f t="shared" si="61"/>
        <v>920</v>
      </c>
      <c r="CL18" s="22">
        <f t="shared" si="45"/>
        <v>-6.8417556318617456E-2</v>
      </c>
    </row>
    <row r="19" spans="1:90" x14ac:dyDescent="0.25">
      <c r="A19" t="str">
        <f>+Existing!B18</f>
        <v>MJS250</v>
      </c>
      <c r="B19" t="str">
        <f>+Existing!A18</f>
        <v>_SR_</v>
      </c>
      <c r="C19" t="str">
        <f>+Existing!C18</f>
        <v>9,375 (18,750)</v>
      </c>
      <c r="D19" t="str">
        <f>+Existing!D18</f>
        <v>80 (50)</v>
      </c>
      <c r="E19">
        <f>+Existing!E18</f>
        <v>65</v>
      </c>
      <c r="F19" t="str">
        <f>+Existing!F18</f>
        <v>600 (447)</v>
      </c>
      <c r="G19">
        <f>+Existing!G18</f>
        <v>192</v>
      </c>
      <c r="H19" t="str">
        <f>+Existing!H18</f>
        <v>990 (1,980)</v>
      </c>
      <c r="I19">
        <f>+Existing!I18</f>
        <v>1955</v>
      </c>
      <c r="J19">
        <f>+Existing!J18</f>
        <v>22</v>
      </c>
      <c r="K19" t="str">
        <f>+Existing!K18</f>
        <v>N/A</v>
      </c>
      <c r="M19" t="s">
        <v>338</v>
      </c>
      <c r="N19">
        <v>8</v>
      </c>
      <c r="O19">
        <f t="shared" si="46"/>
        <v>9375</v>
      </c>
      <c r="P19">
        <f t="shared" si="47"/>
        <v>80</v>
      </c>
      <c r="Q19">
        <f t="shared" si="48"/>
        <v>65</v>
      </c>
      <c r="R19">
        <f t="shared" si="49"/>
        <v>600</v>
      </c>
      <c r="S19">
        <f t="shared" si="50"/>
        <v>192</v>
      </c>
      <c r="T19">
        <v>65</v>
      </c>
      <c r="U19" t="s">
        <v>344</v>
      </c>
      <c r="V19">
        <f t="shared" si="51"/>
        <v>990</v>
      </c>
      <c r="W19">
        <f t="shared" si="52"/>
        <v>1955</v>
      </c>
      <c r="X19">
        <f t="shared" si="53"/>
        <v>22</v>
      </c>
      <c r="AS19">
        <f t="shared" si="16"/>
        <v>0</v>
      </c>
      <c r="AT19">
        <f t="shared" si="17"/>
        <v>1</v>
      </c>
      <c r="AU19">
        <f t="shared" si="18"/>
        <v>8</v>
      </c>
      <c r="AV19">
        <f t="shared" si="19"/>
        <v>9375</v>
      </c>
      <c r="AW19">
        <f t="shared" si="20"/>
        <v>80</v>
      </c>
      <c r="AX19">
        <f t="shared" si="21"/>
        <v>600</v>
      </c>
      <c r="AY19">
        <f t="shared" si="22"/>
        <v>65</v>
      </c>
      <c r="AZ19">
        <f t="shared" si="23"/>
        <v>65</v>
      </c>
      <c r="BA19">
        <f t="shared" si="24"/>
        <v>990</v>
      </c>
      <c r="BB19">
        <f t="shared" si="25"/>
        <v>0</v>
      </c>
      <c r="BC19">
        <f t="shared" si="26"/>
        <v>1</v>
      </c>
      <c r="BD19">
        <f t="shared" si="27"/>
        <v>0</v>
      </c>
      <c r="BE19">
        <f t="shared" si="28"/>
        <v>0</v>
      </c>
      <c r="BF19">
        <f t="shared" si="29"/>
        <v>0</v>
      </c>
      <c r="BG19">
        <f t="shared" si="30"/>
        <v>1955</v>
      </c>
      <c r="BH19">
        <f t="shared" si="31"/>
        <v>22</v>
      </c>
      <c r="BI19">
        <v>0</v>
      </c>
      <c r="BJ19">
        <v>1</v>
      </c>
      <c r="BK19">
        <v>1</v>
      </c>
      <c r="BL19">
        <v>0</v>
      </c>
      <c r="BM19">
        <f t="shared" si="32"/>
        <v>2.953846153846154</v>
      </c>
      <c r="BO19">
        <f t="shared" si="33"/>
        <v>9.2307692307692299</v>
      </c>
      <c r="BQ19">
        <f t="shared" si="54"/>
        <v>1171.875</v>
      </c>
      <c r="BR19">
        <f t="shared" si="55"/>
        <v>15216</v>
      </c>
      <c r="BS19">
        <f t="shared" si="56"/>
        <v>5841</v>
      </c>
      <c r="BT19">
        <f t="shared" si="57"/>
        <v>6928.24</v>
      </c>
      <c r="BU19">
        <f t="shared" si="58"/>
        <v>-2446.7600000000002</v>
      </c>
      <c r="BV19" s="22">
        <f t="shared" si="34"/>
        <v>-0.35315751186448513</v>
      </c>
      <c r="BW19">
        <f t="shared" si="35"/>
        <v>6940</v>
      </c>
      <c r="BX19" s="22">
        <f t="shared" si="36"/>
        <v>-1.6974007828829407E-3</v>
      </c>
      <c r="BZ19">
        <f t="shared" si="37"/>
        <v>15.23076923076923</v>
      </c>
      <c r="CA19">
        <f t="shared" si="59"/>
        <v>1632.5519999999999</v>
      </c>
      <c r="CB19">
        <f t="shared" si="60"/>
        <v>642.55199999999991</v>
      </c>
      <c r="CC19" s="22">
        <f t="shared" si="38"/>
        <v>0.39358746306396364</v>
      </c>
      <c r="CE19">
        <f t="shared" si="39"/>
        <v>161.75</v>
      </c>
      <c r="CF19">
        <f t="shared" si="40"/>
        <v>-438.25</v>
      </c>
      <c r="CG19" s="22">
        <f t="shared" si="41"/>
        <v>-2.7094281298299845</v>
      </c>
      <c r="CH19">
        <f t="shared" si="42"/>
        <v>663.65184745128317</v>
      </c>
      <c r="CI19">
        <f t="shared" si="43"/>
        <v>63.651847451283174</v>
      </c>
      <c r="CJ19" s="22">
        <f t="shared" si="44"/>
        <v>9.591150494906997E-2</v>
      </c>
      <c r="CK19">
        <f t="shared" si="61"/>
        <v>630</v>
      </c>
      <c r="CL19" s="22">
        <f t="shared" si="45"/>
        <v>-5.070708019652348E-2</v>
      </c>
    </row>
    <row r="20" spans="1:90" x14ac:dyDescent="0.25">
      <c r="A20" t="str">
        <f>+Existing!B19</f>
        <v>Kelling 3100</v>
      </c>
      <c r="B20" t="str">
        <f>+Existing!A19</f>
        <v>_SR_</v>
      </c>
      <c r="C20" t="str">
        <f>+Existing!C19</f>
        <v>21,093 (42,186)</v>
      </c>
      <c r="D20" t="str">
        <f>+Existing!D19</f>
        <v>104 (65)</v>
      </c>
      <c r="E20">
        <f>+Existing!E19</f>
        <v>110</v>
      </c>
      <c r="F20" t="str">
        <f>+Existing!F19</f>
        <v>1,500 (1,119)</v>
      </c>
      <c r="G20">
        <f>+Existing!G19</f>
        <v>326</v>
      </c>
      <c r="H20" t="str">
        <f>+Existing!H19</f>
        <v>1,599 (3,198)</v>
      </c>
      <c r="I20">
        <f>+Existing!I19</f>
        <v>1958</v>
      </c>
      <c r="J20">
        <f>+Existing!J19</f>
        <v>22</v>
      </c>
      <c r="K20" t="str">
        <f>+Existing!K19</f>
        <v>N/A</v>
      </c>
      <c r="M20" t="s">
        <v>338</v>
      </c>
      <c r="N20">
        <v>18</v>
      </c>
      <c r="O20">
        <f t="shared" si="46"/>
        <v>21093</v>
      </c>
      <c r="P20">
        <f t="shared" si="47"/>
        <v>104</v>
      </c>
      <c r="Q20">
        <f t="shared" si="48"/>
        <v>110</v>
      </c>
      <c r="R20">
        <f t="shared" si="49"/>
        <v>1500</v>
      </c>
      <c r="S20">
        <f t="shared" si="50"/>
        <v>326</v>
      </c>
      <c r="T20">
        <v>105</v>
      </c>
      <c r="U20" t="s">
        <v>344</v>
      </c>
      <c r="V20">
        <f t="shared" si="51"/>
        <v>1599</v>
      </c>
      <c r="W20">
        <f t="shared" si="52"/>
        <v>1958</v>
      </c>
      <c r="X20">
        <f t="shared" si="53"/>
        <v>22</v>
      </c>
      <c r="AS20">
        <f t="shared" si="16"/>
        <v>0</v>
      </c>
      <c r="AT20">
        <f t="shared" si="17"/>
        <v>1</v>
      </c>
      <c r="AU20">
        <f t="shared" si="18"/>
        <v>18</v>
      </c>
      <c r="AV20">
        <f t="shared" si="19"/>
        <v>21093</v>
      </c>
      <c r="AW20">
        <f t="shared" si="20"/>
        <v>104</v>
      </c>
      <c r="AX20">
        <f t="shared" si="21"/>
        <v>1500</v>
      </c>
      <c r="AY20">
        <f t="shared" si="22"/>
        <v>110</v>
      </c>
      <c r="AZ20">
        <f t="shared" si="23"/>
        <v>105</v>
      </c>
      <c r="BA20">
        <f t="shared" si="24"/>
        <v>1599</v>
      </c>
      <c r="BB20">
        <f t="shared" si="25"/>
        <v>0</v>
      </c>
      <c r="BC20">
        <f t="shared" si="26"/>
        <v>1</v>
      </c>
      <c r="BD20">
        <f t="shared" si="27"/>
        <v>0</v>
      </c>
      <c r="BE20">
        <f t="shared" si="28"/>
        <v>0</v>
      </c>
      <c r="BF20">
        <f t="shared" si="29"/>
        <v>0</v>
      </c>
      <c r="BG20">
        <f t="shared" si="30"/>
        <v>1958</v>
      </c>
      <c r="BH20">
        <f t="shared" si="31"/>
        <v>22</v>
      </c>
      <c r="BI20">
        <v>0</v>
      </c>
      <c r="BJ20">
        <v>1</v>
      </c>
      <c r="BK20">
        <v>1</v>
      </c>
      <c r="BL20">
        <v>0</v>
      </c>
      <c r="BM20">
        <f t="shared" si="32"/>
        <v>2.9636363636363638</v>
      </c>
      <c r="BO20">
        <f t="shared" si="33"/>
        <v>13.636363636363637</v>
      </c>
      <c r="BQ20">
        <f t="shared" si="54"/>
        <v>1171.8333333333333</v>
      </c>
      <c r="BR20">
        <f t="shared" si="55"/>
        <v>19780.8</v>
      </c>
      <c r="BS20">
        <f t="shared" si="56"/>
        <v>-1312.2000000000007</v>
      </c>
      <c r="BT20">
        <f t="shared" si="57"/>
        <v>10133.641599999999</v>
      </c>
      <c r="BU20">
        <f t="shared" si="58"/>
        <v>-10959.358400000001</v>
      </c>
      <c r="BV20" s="22">
        <f t="shared" si="34"/>
        <v>-1.0814827317358453</v>
      </c>
      <c r="BW20">
        <f t="shared" si="35"/>
        <v>10327.6</v>
      </c>
      <c r="BX20" s="22">
        <f t="shared" si="36"/>
        <v>-1.9140049318499885E-2</v>
      </c>
      <c r="BZ20">
        <f t="shared" si="37"/>
        <v>15.228571428571428</v>
      </c>
      <c r="CA20">
        <f t="shared" si="59"/>
        <v>1877.1100799999999</v>
      </c>
      <c r="CB20">
        <f t="shared" si="60"/>
        <v>278.11007999999993</v>
      </c>
      <c r="CC20" s="22">
        <f t="shared" si="38"/>
        <v>0.14815864182030281</v>
      </c>
      <c r="CE20">
        <f t="shared" si="39"/>
        <v>1553.1800000000003</v>
      </c>
      <c r="CF20">
        <f t="shared" si="40"/>
        <v>53.180000000000291</v>
      </c>
      <c r="CG20" s="22">
        <f t="shared" si="41"/>
        <v>3.4239431360177368E-2</v>
      </c>
      <c r="CH20">
        <f t="shared" si="42"/>
        <v>1802.4644290640208</v>
      </c>
      <c r="CI20">
        <f t="shared" si="43"/>
        <v>302.46442906402081</v>
      </c>
      <c r="CJ20" s="22">
        <f t="shared" si="44"/>
        <v>0.16780604609272859</v>
      </c>
      <c r="CK20">
        <f t="shared" si="61"/>
        <v>1752</v>
      </c>
      <c r="CL20" s="22">
        <f t="shared" si="45"/>
        <v>-2.7997461836307025E-2</v>
      </c>
    </row>
    <row r="21" spans="1:90" x14ac:dyDescent="0.25">
      <c r="A21" t="str">
        <f>+Existing!B20</f>
        <v>Centennial</v>
      </c>
      <c r="B21" t="str">
        <f>+Existing!A20</f>
        <v>_SR_</v>
      </c>
      <c r="C21" t="str">
        <f>+Existing!C20</f>
        <v>35,156 (70,312)</v>
      </c>
      <c r="D21" t="str">
        <f>+Existing!D20</f>
        <v>112 (70)</v>
      </c>
      <c r="E21">
        <f>+Existing!E20</f>
        <v>207</v>
      </c>
      <c r="F21" t="str">
        <f>+Existing!F20</f>
        <v>6,600 (4,922)</v>
      </c>
      <c r="G21">
        <f>+Existing!G20</f>
        <v>614</v>
      </c>
      <c r="H21" t="str">
        <f>+Existing!H20</f>
        <v>2,361 (4,722)</v>
      </c>
      <c r="I21">
        <f>+Existing!I20</f>
        <v>1972</v>
      </c>
      <c r="J21">
        <f>+Existing!J20</f>
        <v>22</v>
      </c>
      <c r="K21" t="str">
        <f>+Existing!K20</f>
        <v>N/A</v>
      </c>
      <c r="M21" t="s">
        <v>338</v>
      </c>
      <c r="N21">
        <v>30</v>
      </c>
      <c r="O21">
        <f t="shared" si="46"/>
        <v>35156</v>
      </c>
      <c r="P21">
        <f t="shared" si="47"/>
        <v>112</v>
      </c>
      <c r="Q21">
        <f t="shared" si="48"/>
        <v>207</v>
      </c>
      <c r="R21">
        <f t="shared" si="49"/>
        <v>6600</v>
      </c>
      <c r="S21">
        <f t="shared" si="50"/>
        <v>614</v>
      </c>
      <c r="T21">
        <v>155</v>
      </c>
      <c r="U21" t="s">
        <v>344</v>
      </c>
      <c r="V21">
        <f t="shared" si="51"/>
        <v>2361</v>
      </c>
      <c r="W21">
        <f t="shared" si="52"/>
        <v>1972</v>
      </c>
      <c r="X21">
        <f t="shared" si="53"/>
        <v>22</v>
      </c>
      <c r="AS21">
        <f t="shared" si="16"/>
        <v>0</v>
      </c>
      <c r="AT21">
        <f t="shared" si="17"/>
        <v>1</v>
      </c>
      <c r="AU21">
        <f t="shared" si="18"/>
        <v>30</v>
      </c>
      <c r="AV21">
        <f t="shared" si="19"/>
        <v>35156</v>
      </c>
      <c r="AW21">
        <f t="shared" si="20"/>
        <v>112</v>
      </c>
      <c r="AX21">
        <f t="shared" si="21"/>
        <v>6600</v>
      </c>
      <c r="AY21">
        <f t="shared" si="22"/>
        <v>207</v>
      </c>
      <c r="AZ21">
        <f t="shared" si="23"/>
        <v>155</v>
      </c>
      <c r="BA21">
        <f t="shared" si="24"/>
        <v>2361</v>
      </c>
      <c r="BB21">
        <f t="shared" si="25"/>
        <v>0</v>
      </c>
      <c r="BC21">
        <f t="shared" si="26"/>
        <v>1</v>
      </c>
      <c r="BD21">
        <f t="shared" si="27"/>
        <v>0</v>
      </c>
      <c r="BE21">
        <f t="shared" si="28"/>
        <v>0</v>
      </c>
      <c r="BF21">
        <f t="shared" si="29"/>
        <v>0</v>
      </c>
      <c r="BG21">
        <f t="shared" si="30"/>
        <v>1972</v>
      </c>
      <c r="BH21">
        <f t="shared" si="31"/>
        <v>22</v>
      </c>
      <c r="BI21">
        <v>0</v>
      </c>
      <c r="BJ21">
        <v>1</v>
      </c>
      <c r="BK21">
        <v>1</v>
      </c>
      <c r="BL21">
        <v>0</v>
      </c>
      <c r="BM21">
        <f t="shared" si="32"/>
        <v>2.9661835748792269</v>
      </c>
      <c r="BO21">
        <f t="shared" si="33"/>
        <v>31.884057971014492</v>
      </c>
      <c r="BQ21">
        <f t="shared" si="54"/>
        <v>1171.8666666666666</v>
      </c>
      <c r="BR21">
        <f t="shared" si="55"/>
        <v>21302.399999999998</v>
      </c>
      <c r="BS21">
        <f t="shared" si="56"/>
        <v>-13853.600000000002</v>
      </c>
      <c r="BT21">
        <f t="shared" si="57"/>
        <v>-5848.1056000000026</v>
      </c>
      <c r="BU21">
        <f t="shared" si="58"/>
        <v>-41004.105600000003</v>
      </c>
      <c r="BV21" s="22">
        <f t="shared" si="34"/>
        <v>7.0115193542332728</v>
      </c>
      <c r="BW21">
        <f t="shared" si="35"/>
        <v>-5381.5999999999985</v>
      </c>
      <c r="BX21" s="22">
        <f t="shared" si="36"/>
        <v>7.9770378975373424E-2</v>
      </c>
      <c r="BZ21">
        <f t="shared" si="37"/>
        <v>15.232258064516129</v>
      </c>
      <c r="CA21">
        <f t="shared" si="59"/>
        <v>1955.5267199999998</v>
      </c>
      <c r="CB21">
        <f t="shared" si="60"/>
        <v>-405.47328000000016</v>
      </c>
      <c r="CC21" s="22">
        <f t="shared" si="38"/>
        <v>-0.20734734833999108</v>
      </c>
      <c r="CE21">
        <f t="shared" si="39"/>
        <v>3698.8100000000004</v>
      </c>
      <c r="CF21">
        <f t="shared" si="40"/>
        <v>-2901.1899999999996</v>
      </c>
      <c r="CG21" s="22">
        <f t="shared" si="41"/>
        <v>-0.78435767179173821</v>
      </c>
      <c r="CH21">
        <f t="shared" si="42"/>
        <v>4332.8610326573789</v>
      </c>
      <c r="CI21">
        <f t="shared" si="43"/>
        <v>-2267.1389673426211</v>
      </c>
      <c r="CJ21" s="22">
        <f t="shared" si="44"/>
        <v>-0.52324294507829305</v>
      </c>
      <c r="CK21">
        <f t="shared" si="61"/>
        <v>4258</v>
      </c>
      <c r="CL21" s="22">
        <f t="shared" si="45"/>
        <v>-1.7277506038883006E-2</v>
      </c>
    </row>
    <row r="22" spans="1:90" x14ac:dyDescent="0.25">
      <c r="A22" t="str">
        <f>+Existing!B21</f>
        <v>CS4000</v>
      </c>
      <c r="B22" t="str">
        <f>+Existing!A21</f>
        <v>_SR_</v>
      </c>
      <c r="C22" t="str">
        <f>+Existing!C21</f>
        <v>26,953 (53,906)</v>
      </c>
      <c r="D22" t="str">
        <f>+Existing!D21</f>
        <v>96 (60)</v>
      </c>
      <c r="E22">
        <f>+Existing!E21</f>
        <v>150</v>
      </c>
      <c r="F22" t="str">
        <f>+Existing!F21</f>
        <v>4,000 (2,983)</v>
      </c>
      <c r="G22">
        <f>+Existing!G21</f>
        <v>445</v>
      </c>
      <c r="H22" t="str">
        <f>+Existing!H21</f>
        <v>2,956 (5,912)</v>
      </c>
      <c r="I22">
        <f>+Existing!I21</f>
        <v>1962</v>
      </c>
      <c r="J22">
        <f>+Existing!J21</f>
        <v>20</v>
      </c>
      <c r="K22" t="str">
        <f>+Existing!K21</f>
        <v>N/A</v>
      </c>
      <c r="M22" t="s">
        <v>338</v>
      </c>
      <c r="N22">
        <v>23</v>
      </c>
      <c r="O22">
        <f t="shared" si="46"/>
        <v>26953</v>
      </c>
      <c r="P22">
        <f t="shared" si="47"/>
        <v>96</v>
      </c>
      <c r="Q22">
        <f t="shared" si="48"/>
        <v>150</v>
      </c>
      <c r="R22">
        <f t="shared" si="49"/>
        <v>4000</v>
      </c>
      <c r="S22">
        <f t="shared" si="50"/>
        <v>445</v>
      </c>
      <c r="T22">
        <v>135</v>
      </c>
      <c r="U22" t="s">
        <v>344</v>
      </c>
      <c r="V22">
        <f t="shared" si="51"/>
        <v>2956</v>
      </c>
      <c r="W22">
        <f t="shared" si="52"/>
        <v>1962</v>
      </c>
      <c r="X22">
        <f t="shared" si="53"/>
        <v>20</v>
      </c>
      <c r="AS22">
        <f t="shared" si="16"/>
        <v>0</v>
      </c>
      <c r="AT22">
        <f t="shared" si="17"/>
        <v>1</v>
      </c>
      <c r="AU22">
        <f t="shared" si="18"/>
        <v>23</v>
      </c>
      <c r="AV22">
        <f t="shared" si="19"/>
        <v>26953</v>
      </c>
      <c r="AW22">
        <f t="shared" si="20"/>
        <v>96</v>
      </c>
      <c r="AX22">
        <f t="shared" si="21"/>
        <v>4000</v>
      </c>
      <c r="AY22">
        <f t="shared" si="22"/>
        <v>150</v>
      </c>
      <c r="AZ22">
        <f t="shared" si="23"/>
        <v>135</v>
      </c>
      <c r="BA22">
        <f t="shared" si="24"/>
        <v>2956</v>
      </c>
      <c r="BB22">
        <f t="shared" si="25"/>
        <v>0</v>
      </c>
      <c r="BC22">
        <f t="shared" si="26"/>
        <v>1</v>
      </c>
      <c r="BD22">
        <f t="shared" si="27"/>
        <v>0</v>
      </c>
      <c r="BE22">
        <f t="shared" si="28"/>
        <v>0</v>
      </c>
      <c r="BF22">
        <f t="shared" si="29"/>
        <v>0</v>
      </c>
      <c r="BG22">
        <f t="shared" si="30"/>
        <v>1962</v>
      </c>
      <c r="BH22">
        <f t="shared" si="31"/>
        <v>20</v>
      </c>
      <c r="BI22">
        <v>0</v>
      </c>
      <c r="BJ22">
        <v>1</v>
      </c>
      <c r="BK22">
        <v>1</v>
      </c>
      <c r="BL22">
        <v>0</v>
      </c>
      <c r="BM22">
        <f t="shared" si="32"/>
        <v>2.9666666666666668</v>
      </c>
      <c r="BO22">
        <f t="shared" si="33"/>
        <v>26.666666666666668</v>
      </c>
      <c r="BQ22">
        <f t="shared" si="54"/>
        <v>1171.8695652173913</v>
      </c>
      <c r="BR22">
        <f t="shared" si="55"/>
        <v>18259.199999999997</v>
      </c>
      <c r="BS22">
        <f t="shared" si="56"/>
        <v>-8693.8000000000029</v>
      </c>
      <c r="BT22">
        <f t="shared" si="57"/>
        <v>-838.51840000000084</v>
      </c>
      <c r="BU22">
        <f t="shared" si="58"/>
        <v>-27791.518400000001</v>
      </c>
      <c r="BV22" s="22">
        <f t="shared" si="34"/>
        <v>33.143599949625404</v>
      </c>
      <c r="BW22">
        <f t="shared" si="35"/>
        <v>-582.39999999999964</v>
      </c>
      <c r="BX22" s="22">
        <f t="shared" si="36"/>
        <v>0.30544159794227643</v>
      </c>
      <c r="BZ22">
        <f t="shared" si="37"/>
        <v>21.896296296296295</v>
      </c>
      <c r="CA22">
        <f t="shared" si="59"/>
        <v>1607.8220799999997</v>
      </c>
      <c r="CB22">
        <f t="shared" si="60"/>
        <v>-1348.1779200000003</v>
      </c>
      <c r="CC22" s="22">
        <f t="shared" si="38"/>
        <v>-0.83851188310587232</v>
      </c>
      <c r="CE22">
        <f t="shared" si="39"/>
        <v>2217.42</v>
      </c>
      <c r="CF22">
        <f t="shared" si="40"/>
        <v>-1782.58</v>
      </c>
      <c r="CG22" s="22">
        <f t="shared" si="41"/>
        <v>-0.80389822406219835</v>
      </c>
      <c r="CH22">
        <f t="shared" si="42"/>
        <v>3057.4649002508459</v>
      </c>
      <c r="CI22">
        <f t="shared" si="43"/>
        <v>-942.53509974915414</v>
      </c>
      <c r="CJ22" s="22">
        <f t="shared" si="44"/>
        <v>-0.30827339985876046</v>
      </c>
      <c r="CK22">
        <f t="shared" si="61"/>
        <v>3000</v>
      </c>
      <c r="CL22" s="22">
        <f t="shared" si="45"/>
        <v>-1.8794950105929686E-2</v>
      </c>
    </row>
    <row r="23" spans="1:90" x14ac:dyDescent="0.25">
      <c r="A23" t="str">
        <f>+Existing!B22</f>
        <v>CS2400</v>
      </c>
      <c r="B23" t="str">
        <f>+Existing!A22</f>
        <v>_SR_</v>
      </c>
      <c r="C23" t="str">
        <f>+Existing!C22</f>
        <v>18,750 (37,500)</v>
      </c>
      <c r="D23" t="str">
        <f>+Existing!D22</f>
        <v>112 (70)</v>
      </c>
      <c r="E23">
        <f>+Existing!E22</f>
        <v>120</v>
      </c>
      <c r="F23" t="str">
        <f>+Existing!F22</f>
        <v>2,400 (1,790)</v>
      </c>
      <c r="G23">
        <f>+Existing!G22</f>
        <v>356</v>
      </c>
      <c r="H23" t="str">
        <f>+Existing!H22</f>
        <v>1,599 (3,198)</v>
      </c>
      <c r="I23">
        <f>+Existing!I22</f>
        <v>1965</v>
      </c>
      <c r="J23">
        <f>+Existing!J22</f>
        <v>20</v>
      </c>
      <c r="K23" t="str">
        <f>+Existing!K22</f>
        <v>N/A</v>
      </c>
      <c r="M23" t="s">
        <v>338</v>
      </c>
      <c r="N23">
        <v>16</v>
      </c>
      <c r="O23">
        <f t="shared" si="46"/>
        <v>18750</v>
      </c>
      <c r="P23">
        <f t="shared" si="47"/>
        <v>112</v>
      </c>
      <c r="Q23">
        <f t="shared" si="48"/>
        <v>120</v>
      </c>
      <c r="R23">
        <f t="shared" si="49"/>
        <v>2400</v>
      </c>
      <c r="S23">
        <f t="shared" si="50"/>
        <v>356</v>
      </c>
      <c r="T23">
        <v>105</v>
      </c>
      <c r="U23" t="s">
        <v>344</v>
      </c>
      <c r="V23">
        <f t="shared" si="51"/>
        <v>1599</v>
      </c>
      <c r="W23">
        <f t="shared" si="52"/>
        <v>1965</v>
      </c>
      <c r="X23">
        <f t="shared" si="53"/>
        <v>20</v>
      </c>
      <c r="AS23">
        <f t="shared" si="16"/>
        <v>0</v>
      </c>
      <c r="AT23">
        <f t="shared" si="17"/>
        <v>1</v>
      </c>
      <c r="AU23">
        <f t="shared" si="18"/>
        <v>16</v>
      </c>
      <c r="AV23">
        <f t="shared" si="19"/>
        <v>18750</v>
      </c>
      <c r="AW23">
        <f t="shared" si="20"/>
        <v>112</v>
      </c>
      <c r="AX23">
        <f t="shared" si="21"/>
        <v>2400</v>
      </c>
      <c r="AY23">
        <f t="shared" si="22"/>
        <v>120</v>
      </c>
      <c r="AZ23">
        <f t="shared" si="23"/>
        <v>105</v>
      </c>
      <c r="BA23">
        <f t="shared" si="24"/>
        <v>1599</v>
      </c>
      <c r="BB23">
        <f t="shared" si="25"/>
        <v>0</v>
      </c>
      <c r="BC23">
        <f t="shared" si="26"/>
        <v>1</v>
      </c>
      <c r="BD23">
        <f t="shared" si="27"/>
        <v>0</v>
      </c>
      <c r="BE23">
        <f t="shared" si="28"/>
        <v>0</v>
      </c>
      <c r="BF23">
        <f t="shared" si="29"/>
        <v>0</v>
      </c>
      <c r="BG23">
        <f t="shared" si="30"/>
        <v>1965</v>
      </c>
      <c r="BH23">
        <f t="shared" si="31"/>
        <v>20</v>
      </c>
      <c r="BI23">
        <v>0</v>
      </c>
      <c r="BJ23">
        <v>1</v>
      </c>
      <c r="BK23">
        <v>1</v>
      </c>
      <c r="BL23">
        <v>0</v>
      </c>
      <c r="BM23">
        <f t="shared" si="32"/>
        <v>2.9666666666666668</v>
      </c>
      <c r="BO23">
        <f t="shared" si="33"/>
        <v>20</v>
      </c>
      <c r="BQ23">
        <f t="shared" si="54"/>
        <v>1171.875</v>
      </c>
      <c r="BR23">
        <f t="shared" si="55"/>
        <v>21302.399999999998</v>
      </c>
      <c r="BS23">
        <f t="shared" si="56"/>
        <v>2552.3999999999978</v>
      </c>
      <c r="BT23">
        <f t="shared" si="57"/>
        <v>9036.6943999999985</v>
      </c>
      <c r="BU23">
        <f t="shared" si="58"/>
        <v>-9713.3056000000015</v>
      </c>
      <c r="BV23" s="22">
        <f t="shared" si="34"/>
        <v>-1.074873750295241</v>
      </c>
      <c r="BW23">
        <f t="shared" si="35"/>
        <v>9318.4000000000015</v>
      </c>
      <c r="BX23" s="22">
        <f t="shared" si="36"/>
        <v>-3.1173522920062702E-2</v>
      </c>
      <c r="BZ23">
        <f t="shared" si="37"/>
        <v>15.228571428571428</v>
      </c>
      <c r="CA23">
        <f t="shared" si="59"/>
        <v>1766.2067199999997</v>
      </c>
      <c r="CB23">
        <f t="shared" si="60"/>
        <v>167.20671999999968</v>
      </c>
      <c r="CC23" s="22">
        <f t="shared" si="38"/>
        <v>9.4669960263767824E-2</v>
      </c>
      <c r="CE23">
        <f t="shared" si="39"/>
        <v>1914.4400000000005</v>
      </c>
      <c r="CF23">
        <f t="shared" si="40"/>
        <v>-485.55999999999949</v>
      </c>
      <c r="CG23" s="22">
        <f t="shared" si="41"/>
        <v>-0.25363030442322526</v>
      </c>
      <c r="CH23">
        <f t="shared" si="42"/>
        <v>2274.9227442933206</v>
      </c>
      <c r="CI23">
        <f t="shared" si="43"/>
        <v>-125.07725570667935</v>
      </c>
      <c r="CJ23" s="22">
        <f t="shared" si="44"/>
        <v>-5.4980880568554519E-2</v>
      </c>
      <c r="CK23">
        <f t="shared" si="61"/>
        <v>2220</v>
      </c>
      <c r="CL23" s="22">
        <f t="shared" si="45"/>
        <v>-2.4142685474087044E-2</v>
      </c>
    </row>
    <row r="24" spans="1:90" x14ac:dyDescent="0.25">
      <c r="A24" t="str">
        <f>+Existing!B23</f>
        <v>MJS 1000</v>
      </c>
      <c r="B24" t="str">
        <f>+Existing!A23</f>
        <v>_SR_</v>
      </c>
      <c r="C24" t="str">
        <f>+Existing!C23</f>
        <v>24,609 (49,218)</v>
      </c>
      <c r="D24" t="str">
        <f>+Existing!D23</f>
        <v>104 (65)</v>
      </c>
      <c r="E24">
        <f>+Existing!E23</f>
        <v>120</v>
      </c>
      <c r="F24" t="str">
        <f>+Existing!F23</f>
        <v>2,200 (1,641)</v>
      </c>
      <c r="G24">
        <f>+Existing!G23</f>
        <v>356</v>
      </c>
      <c r="H24" t="str">
        <f>+Existing!H23</f>
        <v>2,208 (4,416)</v>
      </c>
      <c r="I24">
        <f>+Existing!I23</f>
        <v>1965</v>
      </c>
      <c r="J24">
        <f>+Existing!J23</f>
        <v>22</v>
      </c>
      <c r="K24" t="str">
        <f>+Existing!K23</f>
        <v>N/A</v>
      </c>
      <c r="M24" t="s">
        <v>338</v>
      </c>
      <c r="N24">
        <v>21</v>
      </c>
      <c r="O24">
        <f t="shared" si="46"/>
        <v>24609</v>
      </c>
      <c r="P24">
        <f t="shared" si="47"/>
        <v>104</v>
      </c>
      <c r="Q24">
        <f t="shared" si="48"/>
        <v>120</v>
      </c>
      <c r="R24">
        <f t="shared" si="49"/>
        <v>2200</v>
      </c>
      <c r="S24">
        <f t="shared" si="50"/>
        <v>356</v>
      </c>
      <c r="T24">
        <v>145</v>
      </c>
      <c r="U24" t="s">
        <v>344</v>
      </c>
      <c r="V24">
        <f t="shared" si="51"/>
        <v>2208</v>
      </c>
      <c r="W24">
        <f t="shared" si="52"/>
        <v>1965</v>
      </c>
      <c r="X24">
        <f t="shared" si="53"/>
        <v>22</v>
      </c>
      <c r="AS24">
        <f t="shared" si="16"/>
        <v>0</v>
      </c>
      <c r="AT24">
        <f t="shared" si="17"/>
        <v>1</v>
      </c>
      <c r="AU24">
        <f t="shared" si="18"/>
        <v>21</v>
      </c>
      <c r="AV24">
        <f t="shared" si="19"/>
        <v>24609</v>
      </c>
      <c r="AW24">
        <f t="shared" si="20"/>
        <v>104</v>
      </c>
      <c r="AX24">
        <f t="shared" si="21"/>
        <v>2200</v>
      </c>
      <c r="AY24">
        <f t="shared" si="22"/>
        <v>120</v>
      </c>
      <c r="AZ24">
        <f t="shared" si="23"/>
        <v>145</v>
      </c>
      <c r="BA24">
        <f t="shared" si="24"/>
        <v>2208</v>
      </c>
      <c r="BB24">
        <f t="shared" si="25"/>
        <v>0</v>
      </c>
      <c r="BC24">
        <f t="shared" si="26"/>
        <v>1</v>
      </c>
      <c r="BD24">
        <f t="shared" si="27"/>
        <v>0</v>
      </c>
      <c r="BE24">
        <f t="shared" si="28"/>
        <v>0</v>
      </c>
      <c r="BF24">
        <f t="shared" si="29"/>
        <v>0</v>
      </c>
      <c r="BG24">
        <f t="shared" si="30"/>
        <v>1965</v>
      </c>
      <c r="BH24">
        <f t="shared" si="31"/>
        <v>22</v>
      </c>
      <c r="BI24">
        <v>0</v>
      </c>
      <c r="BJ24">
        <v>1</v>
      </c>
      <c r="BK24">
        <v>1</v>
      </c>
      <c r="BL24">
        <v>0</v>
      </c>
      <c r="BM24">
        <f t="shared" si="32"/>
        <v>2.9666666666666668</v>
      </c>
      <c r="BO24">
        <f t="shared" si="33"/>
        <v>18.333333333333332</v>
      </c>
      <c r="BQ24">
        <f t="shared" si="54"/>
        <v>1171.8571428571429</v>
      </c>
      <c r="BR24">
        <f t="shared" si="55"/>
        <v>19780.8</v>
      </c>
      <c r="BS24">
        <f t="shared" si="56"/>
        <v>-4828.2000000000007</v>
      </c>
      <c r="BT24">
        <f t="shared" si="57"/>
        <v>7652.8415999999988</v>
      </c>
      <c r="BU24">
        <f t="shared" si="58"/>
        <v>-16956.1584</v>
      </c>
      <c r="BV24" s="22">
        <f t="shared" si="34"/>
        <v>-2.2156682819620888</v>
      </c>
      <c r="BW24">
        <f t="shared" si="35"/>
        <v>7877.6</v>
      </c>
      <c r="BX24" s="22">
        <f t="shared" si="36"/>
        <v>-2.9369273761004289E-2</v>
      </c>
      <c r="BZ24">
        <f t="shared" si="37"/>
        <v>15.227586206896552</v>
      </c>
      <c r="CA24">
        <f t="shared" si="59"/>
        <v>1877.1100799999999</v>
      </c>
      <c r="CB24">
        <f t="shared" si="60"/>
        <v>-330.88992000000007</v>
      </c>
      <c r="CC24" s="22">
        <f t="shared" si="38"/>
        <v>-0.17627624694232108</v>
      </c>
      <c r="CE24">
        <f t="shared" si="39"/>
        <v>1758.2800000000007</v>
      </c>
      <c r="CF24">
        <f t="shared" si="40"/>
        <v>-441.71999999999935</v>
      </c>
      <c r="CG24" s="22">
        <f t="shared" si="41"/>
        <v>-0.25122278590440611</v>
      </c>
      <c r="CH24">
        <f t="shared" si="42"/>
        <v>2064.7561863472456</v>
      </c>
      <c r="CI24">
        <f t="shared" si="43"/>
        <v>-135.2438136527544</v>
      </c>
      <c r="CJ24" s="22">
        <f t="shared" si="44"/>
        <v>-6.5501105916051933E-2</v>
      </c>
      <c r="CK24">
        <f t="shared" si="61"/>
        <v>2012</v>
      </c>
      <c r="CL24" s="22">
        <f t="shared" si="45"/>
        <v>-2.5550806771319823E-2</v>
      </c>
    </row>
    <row r="25" spans="1:90" x14ac:dyDescent="0.25">
      <c r="A25" t="str">
        <f>+Existing!B24</f>
        <v>Turner Turbo</v>
      </c>
      <c r="B25" t="str">
        <f>+Existing!A24</f>
        <v>_SR_</v>
      </c>
      <c r="C25" t="str">
        <f>+Existing!C24</f>
        <v>41,014 (82,028)</v>
      </c>
      <c r="D25" t="str">
        <f>+Existing!D24</f>
        <v>160 (100)</v>
      </c>
      <c r="E25">
        <f>+Existing!E24</f>
        <v>190</v>
      </c>
      <c r="F25" t="str">
        <f>+Existing!F24</f>
        <v>3,500 (2,610)</v>
      </c>
      <c r="G25">
        <f>+Existing!G24</f>
        <v>564</v>
      </c>
      <c r="H25" t="str">
        <f>+Existing!H24</f>
        <v>3,122 (6,244)</v>
      </c>
      <c r="I25">
        <f>+Existing!I24</f>
        <v>1977</v>
      </c>
      <c r="J25">
        <f>+Existing!J24</f>
        <v>22</v>
      </c>
      <c r="K25" t="str">
        <f>+Existing!K24</f>
        <v>N/A</v>
      </c>
      <c r="M25" t="s">
        <v>339</v>
      </c>
      <c r="N25">
        <v>35</v>
      </c>
      <c r="O25">
        <f t="shared" si="46"/>
        <v>41014</v>
      </c>
      <c r="P25">
        <f t="shared" si="47"/>
        <v>160</v>
      </c>
      <c r="Q25">
        <f t="shared" si="48"/>
        <v>190</v>
      </c>
      <c r="R25">
        <f t="shared" si="49"/>
        <v>3500</v>
      </c>
      <c r="S25">
        <f t="shared" si="50"/>
        <v>564</v>
      </c>
      <c r="T25">
        <v>205</v>
      </c>
      <c r="U25" t="s">
        <v>344</v>
      </c>
      <c r="V25">
        <f t="shared" si="51"/>
        <v>3122</v>
      </c>
      <c r="W25">
        <f t="shared" si="52"/>
        <v>1977</v>
      </c>
      <c r="X25">
        <f t="shared" si="53"/>
        <v>22</v>
      </c>
      <c r="AS25">
        <f t="shared" si="16"/>
        <v>1</v>
      </c>
      <c r="AT25">
        <f t="shared" si="17"/>
        <v>0</v>
      </c>
      <c r="AU25">
        <f t="shared" si="18"/>
        <v>35</v>
      </c>
      <c r="AV25">
        <f t="shared" si="19"/>
        <v>41014</v>
      </c>
      <c r="AW25">
        <f t="shared" si="20"/>
        <v>160</v>
      </c>
      <c r="AX25">
        <f t="shared" si="21"/>
        <v>3500</v>
      </c>
      <c r="AY25">
        <f t="shared" si="22"/>
        <v>190</v>
      </c>
      <c r="AZ25">
        <f t="shared" si="23"/>
        <v>205</v>
      </c>
      <c r="BA25">
        <f t="shared" si="24"/>
        <v>3122</v>
      </c>
      <c r="BB25">
        <f t="shared" si="25"/>
        <v>0</v>
      </c>
      <c r="BC25">
        <f t="shared" si="26"/>
        <v>1</v>
      </c>
      <c r="BD25">
        <f t="shared" si="27"/>
        <v>0</v>
      </c>
      <c r="BE25">
        <f t="shared" si="28"/>
        <v>0</v>
      </c>
      <c r="BF25">
        <f t="shared" si="29"/>
        <v>0</v>
      </c>
      <c r="BG25">
        <f t="shared" si="30"/>
        <v>1977</v>
      </c>
      <c r="BH25">
        <f t="shared" si="31"/>
        <v>22</v>
      </c>
      <c r="BI25">
        <v>0</v>
      </c>
      <c r="BJ25">
        <v>1</v>
      </c>
      <c r="BK25">
        <v>1</v>
      </c>
      <c r="BL25">
        <v>0</v>
      </c>
      <c r="BM25">
        <f t="shared" si="32"/>
        <v>2.9684210526315788</v>
      </c>
      <c r="BO25">
        <f t="shared" si="33"/>
        <v>18.421052631578949</v>
      </c>
      <c r="BQ25">
        <f t="shared" si="54"/>
        <v>1171.8285714285714</v>
      </c>
      <c r="BR25">
        <f t="shared" si="55"/>
        <v>30432</v>
      </c>
      <c r="BS25">
        <f t="shared" si="56"/>
        <v>-10582</v>
      </c>
      <c r="BT25">
        <f t="shared" si="57"/>
        <v>17284.560000000001</v>
      </c>
      <c r="BU25">
        <f t="shared" si="58"/>
        <v>-23729.439999999999</v>
      </c>
      <c r="BV25" s="22">
        <f t="shared" si="34"/>
        <v>-1.3728691965546127</v>
      </c>
      <c r="BW25">
        <f t="shared" si="35"/>
        <v>17910</v>
      </c>
      <c r="BX25" s="22">
        <f t="shared" si="36"/>
        <v>-3.6184895652536131E-2</v>
      </c>
      <c r="BZ25">
        <f t="shared" si="37"/>
        <v>15.229268292682926</v>
      </c>
      <c r="CA25">
        <f t="shared" si="59"/>
        <v>2393.4480000000003</v>
      </c>
      <c r="CB25">
        <f t="shared" si="60"/>
        <v>-728.55199999999968</v>
      </c>
      <c r="CC25" s="22">
        <f t="shared" si="38"/>
        <v>-0.30439432985383413</v>
      </c>
      <c r="CE25">
        <f t="shared" si="39"/>
        <v>4287.1000000000004</v>
      </c>
      <c r="CF25">
        <f t="shared" si="40"/>
        <v>787.10000000000036</v>
      </c>
      <c r="CG25" s="22">
        <f t="shared" si="41"/>
        <v>0.1835973035385226</v>
      </c>
      <c r="CH25">
        <f t="shared" si="42"/>
        <v>3803.9643929523463</v>
      </c>
      <c r="CI25">
        <f t="shared" si="43"/>
        <v>303.96439295234632</v>
      </c>
      <c r="CJ25" s="22">
        <f t="shared" si="44"/>
        <v>7.9907265566287911E-2</v>
      </c>
      <c r="CK25">
        <f t="shared" si="61"/>
        <v>3720</v>
      </c>
      <c r="CL25" s="22">
        <f t="shared" si="45"/>
        <v>-2.2072865116168905E-2</v>
      </c>
    </row>
    <row r="26" spans="1:90" x14ac:dyDescent="0.25">
      <c r="A26" t="str">
        <f>+Existing!B25</f>
        <v>Ploddyphut Diesel</v>
      </c>
      <c r="B26" t="str">
        <f>+Existing!A25</f>
        <v>___Y</v>
      </c>
      <c r="C26" t="str">
        <f>+Existing!C25</f>
        <v>18,750 (37,622)</v>
      </c>
      <c r="D26" t="str">
        <f>+Existing!D25</f>
        <v>120 (75)</v>
      </c>
      <c r="E26">
        <f>+Existing!E25</f>
        <v>95</v>
      </c>
      <c r="F26" t="str">
        <f>+Existing!F25</f>
        <v>1,400 (1,044)</v>
      </c>
      <c r="G26">
        <f>+Existing!G25</f>
        <v>282</v>
      </c>
      <c r="H26" t="str">
        <f>+Existing!H25</f>
        <v>1,904 (3,808)</v>
      </c>
      <c r="I26">
        <f>+Existing!I25</f>
        <v>1972</v>
      </c>
      <c r="J26">
        <f>+Existing!J25</f>
        <v>20</v>
      </c>
      <c r="K26" t="str">
        <f>+Existing!K25</f>
        <v>N/A</v>
      </c>
      <c r="M26" t="s">
        <v>338</v>
      </c>
      <c r="N26">
        <v>16</v>
      </c>
      <c r="O26">
        <f t="shared" si="46"/>
        <v>18750</v>
      </c>
      <c r="P26">
        <f t="shared" si="47"/>
        <v>120</v>
      </c>
      <c r="Q26">
        <f t="shared" si="48"/>
        <v>95</v>
      </c>
      <c r="R26">
        <f t="shared" si="49"/>
        <v>1400</v>
      </c>
      <c r="S26">
        <f t="shared" si="50"/>
        <v>282</v>
      </c>
      <c r="T26">
        <v>125</v>
      </c>
      <c r="U26" t="s">
        <v>344</v>
      </c>
      <c r="V26">
        <f t="shared" si="51"/>
        <v>1904</v>
      </c>
      <c r="W26">
        <f t="shared" si="52"/>
        <v>1972</v>
      </c>
      <c r="X26">
        <f t="shared" si="53"/>
        <v>20</v>
      </c>
      <c r="AS26">
        <f t="shared" si="16"/>
        <v>0</v>
      </c>
      <c r="AT26">
        <f t="shared" si="17"/>
        <v>1</v>
      </c>
      <c r="AU26">
        <f t="shared" si="18"/>
        <v>16</v>
      </c>
      <c r="AV26">
        <f t="shared" si="19"/>
        <v>18750</v>
      </c>
      <c r="AW26">
        <f t="shared" si="20"/>
        <v>120</v>
      </c>
      <c r="AX26">
        <f t="shared" si="21"/>
        <v>1400</v>
      </c>
      <c r="AY26">
        <f t="shared" si="22"/>
        <v>95</v>
      </c>
      <c r="AZ26">
        <f t="shared" si="23"/>
        <v>125</v>
      </c>
      <c r="BA26">
        <f t="shared" si="24"/>
        <v>1904</v>
      </c>
      <c r="BB26">
        <f t="shared" si="25"/>
        <v>0</v>
      </c>
      <c r="BC26">
        <f t="shared" si="26"/>
        <v>1</v>
      </c>
      <c r="BD26">
        <f t="shared" si="27"/>
        <v>0</v>
      </c>
      <c r="BE26">
        <f t="shared" si="28"/>
        <v>0</v>
      </c>
      <c r="BF26">
        <f t="shared" si="29"/>
        <v>0</v>
      </c>
      <c r="BG26">
        <f t="shared" si="30"/>
        <v>1972</v>
      </c>
      <c r="BH26">
        <f t="shared" si="31"/>
        <v>20</v>
      </c>
      <c r="BI26">
        <v>0</v>
      </c>
      <c r="BJ26">
        <v>0</v>
      </c>
      <c r="BK26">
        <v>0</v>
      </c>
      <c r="BL26">
        <v>1</v>
      </c>
      <c r="BM26">
        <f t="shared" si="32"/>
        <v>2.9684210526315788</v>
      </c>
      <c r="BO26">
        <f t="shared" si="33"/>
        <v>14.736842105263158</v>
      </c>
      <c r="BQ26">
        <f t="shared" si="54"/>
        <v>1171.875</v>
      </c>
      <c r="BR26">
        <f t="shared" si="55"/>
        <v>22824</v>
      </c>
      <c r="BS26">
        <f t="shared" si="56"/>
        <v>4074</v>
      </c>
      <c r="BT26">
        <f t="shared" si="57"/>
        <v>14653.839999999998</v>
      </c>
      <c r="BU26">
        <f t="shared" si="58"/>
        <v>-4096.1600000000017</v>
      </c>
      <c r="BV26" s="22">
        <f t="shared" si="34"/>
        <v>-0.2795280963897519</v>
      </c>
      <c r="BW26">
        <f t="shared" si="35"/>
        <v>14940</v>
      </c>
      <c r="BX26" s="22">
        <f t="shared" si="36"/>
        <v>-1.9527987203354247E-2</v>
      </c>
      <c r="BZ26">
        <f t="shared" si="37"/>
        <v>15.231999999999999</v>
      </c>
      <c r="CA26">
        <f t="shared" si="59"/>
        <v>1843.0719999999999</v>
      </c>
      <c r="CB26">
        <f t="shared" si="60"/>
        <v>-60.928000000000111</v>
      </c>
      <c r="CC26" s="22">
        <f t="shared" si="38"/>
        <v>-3.3057851239669485E-2</v>
      </c>
      <c r="CE26">
        <f t="shared" si="39"/>
        <v>1557.8500000000004</v>
      </c>
      <c r="CF26">
        <f t="shared" si="40"/>
        <v>157.85000000000036</v>
      </c>
      <c r="CG26" s="22">
        <f t="shared" si="41"/>
        <v>0.10132554482138866</v>
      </c>
      <c r="CH26">
        <f t="shared" si="42"/>
        <v>1621.3599090313346</v>
      </c>
      <c r="CI26">
        <f t="shared" si="43"/>
        <v>221.35990903133461</v>
      </c>
      <c r="CJ26" s="22">
        <f t="shared" si="44"/>
        <v>0.13652731130103241</v>
      </c>
      <c r="CK26">
        <f t="shared" si="61"/>
        <v>1570</v>
      </c>
      <c r="CL26" s="22">
        <f t="shared" si="45"/>
        <v>-3.1677056244729163E-2</v>
      </c>
    </row>
    <row r="27" spans="1:90" x14ac:dyDescent="0.25">
      <c r="A27" t="str">
        <f>+Existing!B26</f>
        <v>Powernaut Diesel</v>
      </c>
      <c r="B27" t="str">
        <f>+Existing!A26</f>
        <v>___Y</v>
      </c>
      <c r="C27" t="str">
        <f>+Existing!C26</f>
        <v>23,437 (47,028)</v>
      </c>
      <c r="D27" t="str">
        <f>+Existing!D26</f>
        <v>152 (95)</v>
      </c>
      <c r="E27">
        <f>+Existing!E26</f>
        <v>120</v>
      </c>
      <c r="F27" t="str">
        <f>+Existing!F26</f>
        <v>2,000 (1,491)</v>
      </c>
      <c r="G27">
        <f>+Existing!G26</f>
        <v>356</v>
      </c>
      <c r="H27" t="str">
        <f>+Existing!H26</f>
        <v>2,056 (4,112)</v>
      </c>
      <c r="I27">
        <f>+Existing!I26</f>
        <v>1978</v>
      </c>
      <c r="J27">
        <f>+Existing!J26</f>
        <v>20</v>
      </c>
      <c r="K27" t="str">
        <f>+Existing!K26</f>
        <v>N/A</v>
      </c>
      <c r="M27" t="s">
        <v>338</v>
      </c>
      <c r="N27">
        <v>20</v>
      </c>
      <c r="O27">
        <f t="shared" si="46"/>
        <v>23437</v>
      </c>
      <c r="P27">
        <f t="shared" si="47"/>
        <v>152</v>
      </c>
      <c r="Q27">
        <f t="shared" si="48"/>
        <v>120</v>
      </c>
      <c r="R27">
        <f t="shared" si="49"/>
        <v>2000</v>
      </c>
      <c r="S27">
        <f t="shared" si="50"/>
        <v>356</v>
      </c>
      <c r="T27">
        <v>135</v>
      </c>
      <c r="U27" t="s">
        <v>344</v>
      </c>
      <c r="V27">
        <f t="shared" si="51"/>
        <v>2056</v>
      </c>
      <c r="W27">
        <f t="shared" si="52"/>
        <v>1978</v>
      </c>
      <c r="X27">
        <f t="shared" si="53"/>
        <v>20</v>
      </c>
      <c r="AS27">
        <f t="shared" si="16"/>
        <v>0</v>
      </c>
      <c r="AT27">
        <f t="shared" si="17"/>
        <v>1</v>
      </c>
      <c r="AU27">
        <f t="shared" si="18"/>
        <v>20</v>
      </c>
      <c r="AV27">
        <f t="shared" si="19"/>
        <v>23437</v>
      </c>
      <c r="AW27">
        <f t="shared" si="20"/>
        <v>152</v>
      </c>
      <c r="AX27">
        <f t="shared" si="21"/>
        <v>2000</v>
      </c>
      <c r="AY27">
        <f t="shared" si="22"/>
        <v>120</v>
      </c>
      <c r="AZ27">
        <f t="shared" si="23"/>
        <v>135</v>
      </c>
      <c r="BA27">
        <f t="shared" si="24"/>
        <v>2056</v>
      </c>
      <c r="BB27">
        <f t="shared" si="25"/>
        <v>0</v>
      </c>
      <c r="BC27">
        <f t="shared" si="26"/>
        <v>1</v>
      </c>
      <c r="BD27">
        <f t="shared" si="27"/>
        <v>0</v>
      </c>
      <c r="BE27">
        <f t="shared" si="28"/>
        <v>0</v>
      </c>
      <c r="BF27">
        <f t="shared" si="29"/>
        <v>0</v>
      </c>
      <c r="BG27">
        <f t="shared" si="30"/>
        <v>1978</v>
      </c>
      <c r="BH27">
        <f t="shared" si="31"/>
        <v>20</v>
      </c>
      <c r="BI27">
        <v>0</v>
      </c>
      <c r="BJ27">
        <v>0</v>
      </c>
      <c r="BK27">
        <v>0</v>
      </c>
      <c r="BL27">
        <v>1</v>
      </c>
      <c r="BM27">
        <f t="shared" si="32"/>
        <v>2.9666666666666668</v>
      </c>
      <c r="BO27">
        <f t="shared" si="33"/>
        <v>16.666666666666668</v>
      </c>
      <c r="BQ27">
        <f t="shared" si="54"/>
        <v>1171.8499999999999</v>
      </c>
      <c r="BR27">
        <f t="shared" si="55"/>
        <v>28910.399999999998</v>
      </c>
      <c r="BS27">
        <f t="shared" si="56"/>
        <v>5473.3999999999978</v>
      </c>
      <c r="BT27">
        <f t="shared" si="57"/>
        <v>20624.950400000002</v>
      </c>
      <c r="BU27">
        <f t="shared" si="58"/>
        <v>-2812.0495999999985</v>
      </c>
      <c r="BV27" s="22">
        <f t="shared" si="34"/>
        <v>-0.13634212667003545</v>
      </c>
      <c r="BW27">
        <f t="shared" si="35"/>
        <v>21134.400000000001</v>
      </c>
      <c r="BX27" s="22">
        <f t="shared" si="36"/>
        <v>-2.4700646067977949E-2</v>
      </c>
      <c r="BZ27">
        <f t="shared" si="37"/>
        <v>15.229629629629629</v>
      </c>
      <c r="CA27">
        <f t="shared" si="59"/>
        <v>2135.0195199999998</v>
      </c>
      <c r="CB27">
        <f t="shared" si="60"/>
        <v>79.019519999999829</v>
      </c>
      <c r="CC27" s="22">
        <f t="shared" si="38"/>
        <v>3.7011146389893348E-2</v>
      </c>
      <c r="CE27">
        <f t="shared" si="39"/>
        <v>2695.24</v>
      </c>
      <c r="CF27">
        <f t="shared" si="40"/>
        <v>695.23999999999978</v>
      </c>
      <c r="CG27" s="22">
        <f t="shared" si="41"/>
        <v>0.25795105445155159</v>
      </c>
      <c r="CH27">
        <f t="shared" si="42"/>
        <v>2285.7555340236977</v>
      </c>
      <c r="CI27">
        <f t="shared" si="43"/>
        <v>285.75553402369769</v>
      </c>
      <c r="CJ27" s="22">
        <f t="shared" si="44"/>
        <v>0.12501579008349678</v>
      </c>
      <c r="CK27">
        <f t="shared" si="61"/>
        <v>2220</v>
      </c>
      <c r="CL27" s="22">
        <f t="shared" si="45"/>
        <v>-2.876752699268148E-2</v>
      </c>
    </row>
    <row r="28" spans="1:90" x14ac:dyDescent="0.25">
      <c r="BV28" s="22"/>
      <c r="BX28" s="22"/>
      <c r="CC28" s="22"/>
      <c r="CG28" s="22"/>
      <c r="CJ28" s="22"/>
      <c r="CL28" s="22"/>
    </row>
    <row r="29" spans="1:90" x14ac:dyDescent="0.25">
      <c r="A29" t="str">
        <f>+Existing!B28</f>
        <v>BR '86' (SH "30")</v>
      </c>
      <c r="B29" t="str">
        <f>+Existing!A28</f>
        <v>T___</v>
      </c>
      <c r="C29" t="str">
        <f>+Existing!C28</f>
        <v>30,468 (60,936)</v>
      </c>
      <c r="D29" t="str">
        <f>+Existing!D28</f>
        <v>160 (100)</v>
      </c>
      <c r="E29">
        <f>+Existing!E28</f>
        <v>84</v>
      </c>
      <c r="F29" t="str">
        <f>+Existing!F28</f>
        <v>3,600 (2,685)</v>
      </c>
      <c r="G29">
        <f>+Existing!G28</f>
        <v>249</v>
      </c>
      <c r="H29" t="str">
        <f>+Existing!H28</f>
        <v>2,531 (5,062)</v>
      </c>
      <c r="I29">
        <f>+Existing!I28</f>
        <v>1965</v>
      </c>
      <c r="J29">
        <f>+Existing!J28</f>
        <v>23</v>
      </c>
      <c r="K29" t="str">
        <f>+Existing!K28</f>
        <v>N/A</v>
      </c>
      <c r="M29" t="s">
        <v>338</v>
      </c>
      <c r="N29">
        <v>26</v>
      </c>
      <c r="O29">
        <f t="shared" si="8"/>
        <v>30468</v>
      </c>
      <c r="P29">
        <f t="shared" si="9"/>
        <v>160</v>
      </c>
      <c r="Q29">
        <f t="shared" si="10"/>
        <v>84</v>
      </c>
      <c r="R29">
        <f t="shared" si="11"/>
        <v>3600</v>
      </c>
      <c r="S29">
        <f t="shared" si="12"/>
        <v>249</v>
      </c>
      <c r="T29">
        <v>180</v>
      </c>
      <c r="U29" t="s">
        <v>345</v>
      </c>
      <c r="V29">
        <f t="shared" si="13"/>
        <v>2531</v>
      </c>
      <c r="W29">
        <f t="shared" si="14"/>
        <v>1965</v>
      </c>
      <c r="X29">
        <f t="shared" si="15"/>
        <v>23</v>
      </c>
      <c r="AS29">
        <f t="shared" si="16"/>
        <v>0</v>
      </c>
      <c r="AT29">
        <f t="shared" si="17"/>
        <v>1</v>
      </c>
      <c r="AU29">
        <f t="shared" si="18"/>
        <v>26</v>
      </c>
      <c r="AV29">
        <f t="shared" si="19"/>
        <v>30468</v>
      </c>
      <c r="AW29">
        <f t="shared" si="20"/>
        <v>160</v>
      </c>
      <c r="AX29">
        <f t="shared" si="21"/>
        <v>3600</v>
      </c>
      <c r="AY29">
        <f t="shared" si="22"/>
        <v>84</v>
      </c>
      <c r="AZ29">
        <f t="shared" si="23"/>
        <v>180</v>
      </c>
      <c r="BA29">
        <f t="shared" si="24"/>
        <v>2531</v>
      </c>
      <c r="BB29">
        <f t="shared" si="25"/>
        <v>0</v>
      </c>
      <c r="BC29">
        <f t="shared" si="26"/>
        <v>0</v>
      </c>
      <c r="BD29">
        <f t="shared" si="27"/>
        <v>1</v>
      </c>
      <c r="BE29">
        <f t="shared" si="28"/>
        <v>0</v>
      </c>
      <c r="BF29">
        <f t="shared" si="29"/>
        <v>0</v>
      </c>
      <c r="BG29">
        <f t="shared" si="30"/>
        <v>1965</v>
      </c>
      <c r="BH29">
        <f t="shared" si="31"/>
        <v>23</v>
      </c>
      <c r="BI29">
        <v>1</v>
      </c>
      <c r="BJ29">
        <v>0</v>
      </c>
      <c r="BK29">
        <v>0</v>
      </c>
      <c r="BL29">
        <v>0</v>
      </c>
      <c r="BM29">
        <f t="shared" si="32"/>
        <v>2.9642857142857144</v>
      </c>
      <c r="BO29">
        <f t="shared" si="33"/>
        <v>42.857142857142854</v>
      </c>
      <c r="BQ29">
        <f>+AV29/AU29</f>
        <v>1171.8461538461538</v>
      </c>
      <c r="BR29">
        <f>190.2*AW29</f>
        <v>30432</v>
      </c>
      <c r="BS29">
        <f>-AV29+BR29</f>
        <v>-36</v>
      </c>
      <c r="BT29">
        <f>294.5*AW29-13530-0.1524*AW29^2-3.544*AX29*BC29</f>
        <v>29688.560000000001</v>
      </c>
      <c r="BU29">
        <f>-AV29+BT29</f>
        <v>-779.43999999999869</v>
      </c>
      <c r="BV29" s="22">
        <f t="shared" si="34"/>
        <v>-2.6253883650806865E-2</v>
      </c>
      <c r="BW29">
        <f t="shared" si="35"/>
        <v>30160</v>
      </c>
      <c r="BX29" s="22">
        <f t="shared" si="36"/>
        <v>-1.5879517228184925E-2</v>
      </c>
      <c r="BZ29">
        <f t="shared" si="37"/>
        <v>14.061111111111112</v>
      </c>
      <c r="CA29">
        <f>+-1366+94.66*BH29+12.42*AW29-0.01212*AW29^2</f>
        <v>2488.1080000000002</v>
      </c>
      <c r="CB29">
        <f>-BA29+CA29</f>
        <v>-42.891999999999825</v>
      </c>
      <c r="CC29" s="22">
        <f t="shared" si="38"/>
        <v>-1.7238801531123175E-2</v>
      </c>
      <c r="CE29">
        <f t="shared" si="39"/>
        <v>4846.04</v>
      </c>
      <c r="CF29">
        <f t="shared" si="40"/>
        <v>1246.04</v>
      </c>
      <c r="CG29" s="22">
        <f t="shared" si="41"/>
        <v>0.25712540548571616</v>
      </c>
      <c r="CH29">
        <f t="shared" si="42"/>
        <v>4543.6717657501622</v>
      </c>
      <c r="CI29">
        <f t="shared" si="43"/>
        <v>943.67176575016219</v>
      </c>
      <c r="CJ29" s="22">
        <f t="shared" si="44"/>
        <v>0.20768924658323368</v>
      </c>
      <c r="CK29">
        <f>26*AY29 + 20*AW29 - 900 - AW29*BC29*BH29 -28*AY29*BB29</f>
        <v>4484</v>
      </c>
      <c r="CL29" s="22">
        <f t="shared" si="45"/>
        <v>-1.313293935533888E-2</v>
      </c>
    </row>
    <row r="30" spans="1:90" x14ac:dyDescent="0.25">
      <c r="A30" t="str">
        <f>+Existing!B29</f>
        <v>BR '87' (SH "40")</v>
      </c>
      <c r="B30" t="str">
        <f>+Existing!A29</f>
        <v>T___</v>
      </c>
      <c r="C30" t="str">
        <f>+Existing!C29</f>
        <v>35,156 (70,312)</v>
      </c>
      <c r="D30" t="str">
        <f>+Existing!D29</f>
        <v>177 (110)</v>
      </c>
      <c r="E30">
        <f>+Existing!E29</f>
        <v>82</v>
      </c>
      <c r="F30" t="str">
        <f>+Existing!F29</f>
        <v>5,000 (3,728)</v>
      </c>
      <c r="G30">
        <f>+Existing!G29</f>
        <v>243</v>
      </c>
      <c r="H30" t="str">
        <f>+Existing!H29</f>
        <v>2,882 (5,764)</v>
      </c>
      <c r="I30">
        <f>+Existing!I29</f>
        <v>1973</v>
      </c>
      <c r="J30">
        <f>+Existing!J29</f>
        <v>25</v>
      </c>
      <c r="K30" t="str">
        <f>+Existing!K29</f>
        <v>N/A</v>
      </c>
      <c r="M30" t="s">
        <v>338</v>
      </c>
      <c r="N30">
        <v>30</v>
      </c>
      <c r="O30">
        <f t="shared" si="8"/>
        <v>35156</v>
      </c>
      <c r="P30">
        <f t="shared" si="9"/>
        <v>177</v>
      </c>
      <c r="Q30">
        <f t="shared" si="10"/>
        <v>82</v>
      </c>
      <c r="R30">
        <f t="shared" si="11"/>
        <v>5000</v>
      </c>
      <c r="S30">
        <f t="shared" si="12"/>
        <v>243</v>
      </c>
      <c r="T30">
        <v>205</v>
      </c>
      <c r="U30" t="s">
        <v>345</v>
      </c>
      <c r="V30">
        <f t="shared" si="13"/>
        <v>2882</v>
      </c>
      <c r="W30">
        <f t="shared" si="14"/>
        <v>1973</v>
      </c>
      <c r="X30">
        <f t="shared" si="15"/>
        <v>25</v>
      </c>
      <c r="AS30">
        <f t="shared" si="16"/>
        <v>0</v>
      </c>
      <c r="AT30">
        <f t="shared" si="17"/>
        <v>1</v>
      </c>
      <c r="AU30">
        <f t="shared" si="18"/>
        <v>30</v>
      </c>
      <c r="AV30">
        <f t="shared" si="19"/>
        <v>35156</v>
      </c>
      <c r="AW30">
        <f t="shared" si="20"/>
        <v>177</v>
      </c>
      <c r="AX30">
        <f t="shared" si="21"/>
        <v>5000</v>
      </c>
      <c r="AY30">
        <f t="shared" si="22"/>
        <v>82</v>
      </c>
      <c r="AZ30">
        <f t="shared" si="23"/>
        <v>205</v>
      </c>
      <c r="BA30">
        <f t="shared" si="24"/>
        <v>2882</v>
      </c>
      <c r="BB30">
        <f t="shared" si="25"/>
        <v>0</v>
      </c>
      <c r="BC30">
        <f t="shared" si="26"/>
        <v>0</v>
      </c>
      <c r="BD30">
        <f t="shared" si="27"/>
        <v>1</v>
      </c>
      <c r="BE30">
        <f t="shared" si="28"/>
        <v>0</v>
      </c>
      <c r="BF30">
        <f t="shared" si="29"/>
        <v>0</v>
      </c>
      <c r="BG30">
        <f t="shared" si="30"/>
        <v>1973</v>
      </c>
      <c r="BH30">
        <f t="shared" si="31"/>
        <v>25</v>
      </c>
      <c r="BI30">
        <v>1</v>
      </c>
      <c r="BJ30">
        <v>0</v>
      </c>
      <c r="BK30">
        <v>0</v>
      </c>
      <c r="BL30">
        <v>0</v>
      </c>
      <c r="BM30">
        <f t="shared" si="32"/>
        <v>2.9634146341463414</v>
      </c>
      <c r="BO30">
        <f t="shared" si="33"/>
        <v>60.975609756097562</v>
      </c>
      <c r="BQ30">
        <f>+AV30/AU30</f>
        <v>1171.8666666666666</v>
      </c>
      <c r="BR30">
        <f>190.2*AW30</f>
        <v>33665.4</v>
      </c>
      <c r="BS30">
        <f>-AV30+BR30</f>
        <v>-1490.5999999999985</v>
      </c>
      <c r="BT30">
        <f>294.5*AW30-13530-0.1524*AW30^2-3.544*AX30*BC30</f>
        <v>33821.960399999996</v>
      </c>
      <c r="BU30">
        <f>-AV30+BT30</f>
        <v>-1334.0396000000037</v>
      </c>
      <c r="BV30" s="22">
        <f t="shared" si="34"/>
        <v>-3.9443000471374327E-2</v>
      </c>
      <c r="BW30">
        <f t="shared" si="35"/>
        <v>34400.65</v>
      </c>
      <c r="BX30" s="22">
        <f t="shared" si="36"/>
        <v>-1.7109877522061279E-2</v>
      </c>
      <c r="BZ30">
        <f t="shared" si="37"/>
        <v>14.058536585365854</v>
      </c>
      <c r="CA30">
        <f>+-1366+94.66*BH30+12.42*AW30-0.01212*AW30^2</f>
        <v>2819.1325200000001</v>
      </c>
      <c r="CB30">
        <f>-BA30+CA30</f>
        <v>-62.867479999999887</v>
      </c>
      <c r="CC30" s="22">
        <f t="shared" si="38"/>
        <v>-2.2300292573688547E-2</v>
      </c>
      <c r="CE30">
        <f t="shared" si="39"/>
        <v>5136.8600000000006</v>
      </c>
      <c r="CF30">
        <f t="shared" si="40"/>
        <v>136.86000000000058</v>
      </c>
      <c r="CG30" s="22">
        <f t="shared" si="41"/>
        <v>2.6642735056046023E-2</v>
      </c>
      <c r="CH30">
        <f t="shared" si="42"/>
        <v>4835.8173499289278</v>
      </c>
      <c r="CI30">
        <f t="shared" si="43"/>
        <v>-164.1826500710722</v>
      </c>
      <c r="CJ30" s="22">
        <f t="shared" si="44"/>
        <v>-3.3951375370594838E-2</v>
      </c>
      <c r="CK30">
        <f>26*AY30 + 20*AW30 - 900 - AW30*BC30*BH30 -28*AY30*BB30</f>
        <v>4772</v>
      </c>
      <c r="CL30" s="22">
        <f t="shared" si="45"/>
        <v>-1.319680734630424E-2</v>
      </c>
    </row>
    <row r="31" spans="1:90" x14ac:dyDescent="0.25">
      <c r="A31" t="str">
        <f>+Existing!B30</f>
        <v>'T.G.V.' ("T.I.M.")</v>
      </c>
      <c r="B31" t="str">
        <f>+Existing!A30</f>
        <v>T___</v>
      </c>
      <c r="C31" t="str">
        <f>+Existing!C30</f>
        <v>46,875 (93,750)</v>
      </c>
      <c r="D31" t="str">
        <f>+Existing!D30</f>
        <v>241 (150)</v>
      </c>
      <c r="E31">
        <f>+Existing!E30</f>
        <v>90</v>
      </c>
      <c r="F31" t="str">
        <f>+Existing!F30</f>
        <v>7,000 (5,220)</v>
      </c>
      <c r="G31">
        <f>+Existing!G30</f>
        <v>267</v>
      </c>
      <c r="H31" t="str">
        <f>+Existing!H30</f>
        <v>3,374 (6,748)</v>
      </c>
      <c r="I31">
        <f>+Existing!I30</f>
        <v>1984</v>
      </c>
      <c r="J31">
        <f>+Existing!J30</f>
        <v>25</v>
      </c>
      <c r="K31" t="str">
        <f>+Existing!K30</f>
        <v>N/A</v>
      </c>
      <c r="M31" t="s">
        <v>339</v>
      </c>
      <c r="N31">
        <v>40</v>
      </c>
      <c r="O31">
        <f t="shared" si="8"/>
        <v>46875</v>
      </c>
      <c r="P31">
        <f t="shared" si="9"/>
        <v>241</v>
      </c>
      <c r="Q31">
        <f t="shared" si="10"/>
        <v>90</v>
      </c>
      <c r="R31">
        <f t="shared" si="11"/>
        <v>7000</v>
      </c>
      <c r="S31">
        <f t="shared" si="12"/>
        <v>267</v>
      </c>
      <c r="T31">
        <v>240</v>
      </c>
      <c r="U31" t="s">
        <v>345</v>
      </c>
      <c r="V31">
        <f t="shared" si="13"/>
        <v>3374</v>
      </c>
      <c r="W31">
        <f t="shared" si="14"/>
        <v>1984</v>
      </c>
      <c r="X31">
        <f t="shared" si="15"/>
        <v>25</v>
      </c>
      <c r="AS31">
        <f t="shared" si="16"/>
        <v>1</v>
      </c>
      <c r="AT31">
        <f t="shared" si="17"/>
        <v>0</v>
      </c>
      <c r="AU31">
        <f t="shared" si="18"/>
        <v>40</v>
      </c>
      <c r="AV31">
        <f t="shared" si="19"/>
        <v>46875</v>
      </c>
      <c r="AW31">
        <f t="shared" si="20"/>
        <v>241</v>
      </c>
      <c r="AX31">
        <f t="shared" si="21"/>
        <v>7000</v>
      </c>
      <c r="AY31">
        <f t="shared" si="22"/>
        <v>90</v>
      </c>
      <c r="AZ31">
        <f t="shared" si="23"/>
        <v>240</v>
      </c>
      <c r="BA31">
        <f t="shared" si="24"/>
        <v>3374</v>
      </c>
      <c r="BB31">
        <f t="shared" si="25"/>
        <v>0</v>
      </c>
      <c r="BC31">
        <f t="shared" si="26"/>
        <v>0</v>
      </c>
      <c r="BD31">
        <f t="shared" si="27"/>
        <v>1</v>
      </c>
      <c r="BE31">
        <f t="shared" si="28"/>
        <v>0</v>
      </c>
      <c r="BF31">
        <f t="shared" si="29"/>
        <v>0</v>
      </c>
      <c r="BG31">
        <f t="shared" si="30"/>
        <v>1984</v>
      </c>
      <c r="BH31">
        <f t="shared" si="31"/>
        <v>25</v>
      </c>
      <c r="BI31">
        <v>1</v>
      </c>
      <c r="BJ31">
        <v>0</v>
      </c>
      <c r="BK31">
        <v>0</v>
      </c>
      <c r="BL31">
        <v>0</v>
      </c>
      <c r="BM31">
        <f t="shared" si="32"/>
        <v>2.9666666666666668</v>
      </c>
      <c r="BO31">
        <f t="shared" si="33"/>
        <v>77.777777777777771</v>
      </c>
      <c r="BQ31">
        <f>+AV31/AU31</f>
        <v>1171.875</v>
      </c>
      <c r="BR31">
        <f>190.2*AW31</f>
        <v>45838.2</v>
      </c>
      <c r="BS31">
        <f>-AV31+BR31</f>
        <v>-1036.8000000000029</v>
      </c>
      <c r="BT31">
        <f>294.5*AW31-13530-0.1524*AW31^2-3.544*AX31*BC31</f>
        <v>48592.955600000001</v>
      </c>
      <c r="BU31">
        <f>-AV31+BT31</f>
        <v>1717.9556000000011</v>
      </c>
      <c r="BV31" s="22">
        <f t="shared" si="34"/>
        <v>3.5354005097808894E-2</v>
      </c>
      <c r="BW31">
        <f t="shared" si="35"/>
        <v>49587.85</v>
      </c>
      <c r="BX31" s="22">
        <f t="shared" si="36"/>
        <v>-2.0474045830626508E-2</v>
      </c>
      <c r="BZ31">
        <f t="shared" si="37"/>
        <v>14.058333333333334</v>
      </c>
      <c r="CA31">
        <f>+-1366+94.66*BH31+12.42*AW31-0.01212*AW31^2</f>
        <v>3289.7782799999995</v>
      </c>
      <c r="CB31">
        <f>-BA31+CA31</f>
        <v>-84.22172000000046</v>
      </c>
      <c r="CC31" s="22">
        <f t="shared" si="38"/>
        <v>-2.5601032298140307E-2</v>
      </c>
      <c r="CE31">
        <f t="shared" si="39"/>
        <v>6550.2199999999993</v>
      </c>
      <c r="CF31">
        <f t="shared" si="40"/>
        <v>-449.78000000000065</v>
      </c>
      <c r="CG31" s="22">
        <f t="shared" si="41"/>
        <v>-6.8666395937846472E-2</v>
      </c>
      <c r="CH31">
        <f t="shared" si="42"/>
        <v>6342.9832193241091</v>
      </c>
      <c r="CI31">
        <f t="shared" si="43"/>
        <v>-657.01678067589091</v>
      </c>
      <c r="CJ31" s="22">
        <f t="shared" si="44"/>
        <v>-0.10358166779856322</v>
      </c>
      <c r="CK31">
        <f>26*AY31 + 20*AW31 - 900 - AW31*BC31*BH31 -28*AY31*BB31</f>
        <v>6260</v>
      </c>
      <c r="CL31" s="22">
        <f t="shared" si="45"/>
        <v>-1.3082679940142006E-2</v>
      </c>
    </row>
    <row r="32" spans="1:90" x14ac:dyDescent="0.25">
      <c r="A32" t="str">
        <f>+Existing!B31</f>
        <v>'Eurostar' ("AsiaStar")</v>
      </c>
      <c r="B32" t="str">
        <f>+Existing!A31</f>
        <v>T___</v>
      </c>
      <c r="C32" t="str">
        <f>+Existing!C31</f>
        <v>50,390 (100,780)</v>
      </c>
      <c r="D32" t="str">
        <f>+Existing!D31</f>
        <v>265 (165)</v>
      </c>
      <c r="E32">
        <f>+Existing!E31</f>
        <v>94</v>
      </c>
      <c r="F32" t="str">
        <f>+Existing!F31</f>
        <v>8,000 (5,966)</v>
      </c>
      <c r="G32">
        <f>+Existing!G31</f>
        <v>279</v>
      </c>
      <c r="H32" t="str">
        <f>+Existing!H31</f>
        <v>3,514 (7,028)</v>
      </c>
      <c r="I32">
        <f>+Existing!I31</f>
        <v>1992</v>
      </c>
      <c r="J32">
        <f>+Existing!J31</f>
        <v>25</v>
      </c>
      <c r="K32" t="str">
        <f>+Existing!K31</f>
        <v>N/A</v>
      </c>
      <c r="M32" t="s">
        <v>339</v>
      </c>
      <c r="N32">
        <v>43</v>
      </c>
      <c r="O32">
        <f t="shared" si="8"/>
        <v>50390</v>
      </c>
      <c r="P32">
        <f t="shared" si="9"/>
        <v>265</v>
      </c>
      <c r="Q32">
        <f t="shared" si="10"/>
        <v>94</v>
      </c>
      <c r="R32">
        <f t="shared" si="11"/>
        <v>8000</v>
      </c>
      <c r="S32">
        <f t="shared" si="12"/>
        <v>279</v>
      </c>
      <c r="T32">
        <v>250</v>
      </c>
      <c r="U32" t="s">
        <v>345</v>
      </c>
      <c r="V32">
        <f t="shared" si="13"/>
        <v>3514</v>
      </c>
      <c r="W32">
        <f t="shared" si="14"/>
        <v>1992</v>
      </c>
      <c r="X32">
        <f t="shared" si="15"/>
        <v>25</v>
      </c>
      <c r="AS32">
        <f t="shared" si="16"/>
        <v>1</v>
      </c>
      <c r="AT32">
        <f t="shared" si="17"/>
        <v>0</v>
      </c>
      <c r="AU32">
        <f t="shared" si="18"/>
        <v>43</v>
      </c>
      <c r="AV32">
        <f t="shared" si="19"/>
        <v>50390</v>
      </c>
      <c r="AW32">
        <f t="shared" si="20"/>
        <v>265</v>
      </c>
      <c r="AX32">
        <f t="shared" si="21"/>
        <v>8000</v>
      </c>
      <c r="AY32">
        <f t="shared" si="22"/>
        <v>94</v>
      </c>
      <c r="AZ32">
        <f t="shared" si="23"/>
        <v>250</v>
      </c>
      <c r="BA32">
        <f t="shared" si="24"/>
        <v>3514</v>
      </c>
      <c r="BB32">
        <f t="shared" si="25"/>
        <v>0</v>
      </c>
      <c r="BC32">
        <f t="shared" si="26"/>
        <v>0</v>
      </c>
      <c r="BD32">
        <f t="shared" si="27"/>
        <v>1</v>
      </c>
      <c r="BE32">
        <f t="shared" si="28"/>
        <v>0</v>
      </c>
      <c r="BF32">
        <f t="shared" si="29"/>
        <v>0</v>
      </c>
      <c r="BG32">
        <f t="shared" si="30"/>
        <v>1992</v>
      </c>
      <c r="BH32">
        <f t="shared" si="31"/>
        <v>25</v>
      </c>
      <c r="BI32">
        <v>1</v>
      </c>
      <c r="BJ32">
        <v>0</v>
      </c>
      <c r="BK32">
        <v>0</v>
      </c>
      <c r="BL32">
        <v>0</v>
      </c>
      <c r="BM32">
        <f t="shared" si="32"/>
        <v>2.9680851063829787</v>
      </c>
      <c r="BO32">
        <f t="shared" si="33"/>
        <v>85.106382978723403</v>
      </c>
      <c r="BQ32">
        <f>+AV32/AU32</f>
        <v>1171.8604651162791</v>
      </c>
      <c r="BR32">
        <f>190.2*AW32</f>
        <v>50403</v>
      </c>
      <c r="BS32">
        <f>-AV32+BR32</f>
        <v>13</v>
      </c>
      <c r="BT32">
        <f>294.5*AW32-13530-0.1524*AW32^2-3.544*AX32*BC32</f>
        <v>53810.21</v>
      </c>
      <c r="BU32">
        <f>-AV32+BT32</f>
        <v>3420.2099999999991</v>
      </c>
      <c r="BV32" s="22">
        <f t="shared" si="34"/>
        <v>6.3560614240308649E-2</v>
      </c>
      <c r="BW32">
        <f t="shared" si="35"/>
        <v>54966.25</v>
      </c>
      <c r="BX32" s="22">
        <f t="shared" si="36"/>
        <v>-2.1483655239405319E-2</v>
      </c>
      <c r="BZ32">
        <f t="shared" si="37"/>
        <v>14.055999999999999</v>
      </c>
      <c r="CA32">
        <f>+-1366+94.66*BH32+12.42*AW32-0.01212*AW32^2</f>
        <v>3440.6730000000002</v>
      </c>
      <c r="CB32">
        <f>-BA32+CA32</f>
        <v>-73.326999999999771</v>
      </c>
      <c r="CC32" s="22">
        <f t="shared" si="38"/>
        <v>-2.1311818937748448E-2</v>
      </c>
      <c r="CE32">
        <f t="shared" si="39"/>
        <v>7100.74</v>
      </c>
      <c r="CF32">
        <f t="shared" si="40"/>
        <v>-899.26000000000022</v>
      </c>
      <c r="CG32" s="22">
        <f t="shared" si="41"/>
        <v>-0.12664313860245555</v>
      </c>
      <c r="CH32">
        <f t="shared" si="42"/>
        <v>6934.3995960756238</v>
      </c>
      <c r="CI32">
        <f t="shared" si="43"/>
        <v>-1065.6004039243762</v>
      </c>
      <c r="CJ32" s="22">
        <f t="shared" si="44"/>
        <v>-0.15366873355948943</v>
      </c>
      <c r="CK32">
        <f>26*AY32 + 20*AW32 - 900 - AW32*BC32*BH32 -28*AY32*BB32</f>
        <v>6844</v>
      </c>
      <c r="CL32" s="22">
        <f t="shared" si="45"/>
        <v>-1.3036398439856822E-2</v>
      </c>
    </row>
    <row r="33" spans="1:90" x14ac:dyDescent="0.25">
      <c r="BV33" s="22"/>
      <c r="BW33">
        <f t="shared" si="35"/>
        <v>-14000</v>
      </c>
      <c r="BX33" s="22"/>
      <c r="CC33" s="22"/>
      <c r="CG33" s="22"/>
      <c r="CJ33" s="22"/>
      <c r="CL33" s="22"/>
    </row>
    <row r="34" spans="1:90" x14ac:dyDescent="0.25">
      <c r="A34" t="str">
        <f>+Existing!B33</f>
        <v>'X2001'</v>
      </c>
      <c r="B34" t="str">
        <f>+Existing!A33</f>
        <v>TSR_</v>
      </c>
      <c r="C34" t="str">
        <f>+Existing!C33</f>
        <v>60,937 (121,874)</v>
      </c>
      <c r="D34" t="str">
        <f>+Existing!D33</f>
        <v>305 (190)</v>
      </c>
      <c r="E34">
        <f>+Existing!E33</f>
        <v>95</v>
      </c>
      <c r="F34" t="str">
        <f>+Existing!F33</f>
        <v>9,000 (6,711)</v>
      </c>
      <c r="G34">
        <f>+Existing!G33</f>
        <v>282</v>
      </c>
      <c r="H34" t="str">
        <f>+Existing!H33</f>
        <v>3,234 (6,468)</v>
      </c>
      <c r="I34">
        <f>+Existing!I33</f>
        <v>1999</v>
      </c>
      <c r="J34">
        <f>+Existing!J33</f>
        <v>20</v>
      </c>
      <c r="K34" t="str">
        <f>+Existing!K33</f>
        <v>N/A</v>
      </c>
      <c r="M34" t="s">
        <v>338</v>
      </c>
      <c r="N34">
        <v>52</v>
      </c>
      <c r="O34">
        <f t="shared" si="8"/>
        <v>60937</v>
      </c>
      <c r="P34">
        <f t="shared" si="9"/>
        <v>305</v>
      </c>
      <c r="Q34">
        <f t="shared" si="10"/>
        <v>95</v>
      </c>
      <c r="R34">
        <f t="shared" si="11"/>
        <v>9000</v>
      </c>
      <c r="S34">
        <f t="shared" si="12"/>
        <v>282</v>
      </c>
      <c r="T34">
        <v>230</v>
      </c>
      <c r="U34" t="s">
        <v>346</v>
      </c>
      <c r="V34">
        <f t="shared" si="13"/>
        <v>3234</v>
      </c>
      <c r="W34">
        <f t="shared" si="14"/>
        <v>1999</v>
      </c>
      <c r="X34">
        <f t="shared" si="15"/>
        <v>20</v>
      </c>
      <c r="AS34">
        <f t="shared" si="16"/>
        <v>0</v>
      </c>
      <c r="AT34">
        <f t="shared" si="17"/>
        <v>1</v>
      </c>
      <c r="AU34">
        <f t="shared" si="18"/>
        <v>52</v>
      </c>
      <c r="AV34">
        <f t="shared" si="19"/>
        <v>60937</v>
      </c>
      <c r="AW34">
        <f t="shared" si="20"/>
        <v>305</v>
      </c>
      <c r="AX34">
        <f t="shared" si="21"/>
        <v>9000</v>
      </c>
      <c r="AY34">
        <f t="shared" si="22"/>
        <v>95</v>
      </c>
      <c r="AZ34">
        <f t="shared" si="23"/>
        <v>230</v>
      </c>
      <c r="BA34">
        <f t="shared" si="24"/>
        <v>3234</v>
      </c>
      <c r="BB34">
        <f t="shared" si="25"/>
        <v>0</v>
      </c>
      <c r="BC34">
        <f t="shared" si="26"/>
        <v>0</v>
      </c>
      <c r="BD34">
        <f t="shared" si="27"/>
        <v>0</v>
      </c>
      <c r="BE34">
        <f t="shared" si="28"/>
        <v>1</v>
      </c>
      <c r="BF34">
        <f t="shared" si="29"/>
        <v>0</v>
      </c>
      <c r="BG34">
        <f t="shared" si="30"/>
        <v>1999</v>
      </c>
      <c r="BH34">
        <f t="shared" si="31"/>
        <v>20</v>
      </c>
      <c r="BI34">
        <v>1</v>
      </c>
      <c r="BJ34">
        <v>1</v>
      </c>
      <c r="BK34">
        <v>1</v>
      </c>
      <c r="BL34">
        <v>0</v>
      </c>
      <c r="BM34">
        <f t="shared" si="32"/>
        <v>2.9684210526315788</v>
      </c>
      <c r="BO34">
        <f t="shared" si="33"/>
        <v>94.736842105263165</v>
      </c>
      <c r="BQ34">
        <f>+AV34/AU34</f>
        <v>1171.8653846153845</v>
      </c>
      <c r="BR34">
        <f>190.2*AW34</f>
        <v>58011</v>
      </c>
      <c r="BS34">
        <f>-AV34+BR34</f>
        <v>-2926</v>
      </c>
      <c r="BT34">
        <f>294.5*AW34-13530-0.1524*AW34^2-3.544*AX34*BC34</f>
        <v>62115.49</v>
      </c>
      <c r="BU34">
        <f>-AV34+BT34</f>
        <v>1178.489999999998</v>
      </c>
      <c r="BV34" s="22">
        <f t="shared" si="34"/>
        <v>1.8972562238501186E-2</v>
      </c>
      <c r="BW34">
        <f t="shared" si="35"/>
        <v>63546.25</v>
      </c>
      <c r="BX34" s="22">
        <f t="shared" si="36"/>
        <v>-2.3033868041610894E-2</v>
      </c>
      <c r="BZ34">
        <f t="shared" si="37"/>
        <v>14.060869565217391</v>
      </c>
      <c r="CA34">
        <f>+-1366+94.66*BH34+12.42*AW34-0.01212*AW34^2</f>
        <v>3187.8369999999995</v>
      </c>
      <c r="CB34">
        <f>-BA34+CA34</f>
        <v>-46.163000000000466</v>
      </c>
      <c r="CC34" s="22">
        <f t="shared" si="38"/>
        <v>-1.448097879534006E-2</v>
      </c>
      <c r="CE34">
        <f t="shared" si="39"/>
        <v>7902.0499999999993</v>
      </c>
      <c r="CF34">
        <f t="shared" si="40"/>
        <v>-1097.9500000000007</v>
      </c>
      <c r="CG34" s="22">
        <f t="shared" si="41"/>
        <v>-0.13894495732120157</v>
      </c>
      <c r="CH34">
        <f t="shared" si="42"/>
        <v>7771.4615615343228</v>
      </c>
      <c r="CI34">
        <f t="shared" si="43"/>
        <v>-1228.5384384656772</v>
      </c>
      <c r="CJ34" s="22">
        <f t="shared" si="44"/>
        <v>-0.15808331917209231</v>
      </c>
      <c r="CK34">
        <f>26*AY34 + 20*AW34 - 900 - AW34*BC34*BH34 -28*AY34*BB34</f>
        <v>7670</v>
      </c>
      <c r="CL34" s="22">
        <f t="shared" si="45"/>
        <v>-1.3055660216672482E-2</v>
      </c>
    </row>
    <row r="35" spans="1:90" x14ac:dyDescent="0.25">
      <c r="A35" t="str">
        <f>+Existing!B34</f>
        <v>'Millennium Z1'</v>
      </c>
      <c r="B35" t="str">
        <f>+Existing!A34</f>
        <v>TSR_</v>
      </c>
      <c r="C35" t="str">
        <f>+Existing!C34</f>
        <v>70,312 (140,624)</v>
      </c>
      <c r="D35" t="str">
        <f>+Existing!D34</f>
        <v>336 (210)</v>
      </c>
      <c r="E35">
        <f>+Existing!E34</f>
        <v>170</v>
      </c>
      <c r="F35" t="str">
        <f>+Existing!F34</f>
        <v>10,000 (7,457)</v>
      </c>
      <c r="G35">
        <f>+Existing!G34</f>
        <v>504</v>
      </c>
      <c r="H35" t="str">
        <f>+Existing!H34</f>
        <v>3,374 (6,748)</v>
      </c>
      <c r="I35">
        <f>+Existing!I34</f>
        <v>2005</v>
      </c>
      <c r="J35">
        <f>+Existing!J34</f>
        <v>20</v>
      </c>
      <c r="K35" t="str">
        <f>+Existing!K34</f>
        <v>25 pass</v>
      </c>
      <c r="M35" t="s">
        <v>339</v>
      </c>
      <c r="N35">
        <v>60</v>
      </c>
      <c r="O35">
        <f t="shared" si="8"/>
        <v>70312</v>
      </c>
      <c r="P35">
        <f t="shared" si="9"/>
        <v>336</v>
      </c>
      <c r="Q35">
        <f t="shared" si="10"/>
        <v>170</v>
      </c>
      <c r="R35">
        <f t="shared" si="11"/>
        <v>10000</v>
      </c>
      <c r="S35">
        <f t="shared" si="12"/>
        <v>504</v>
      </c>
      <c r="T35">
        <v>240</v>
      </c>
      <c r="U35" t="s">
        <v>346</v>
      </c>
      <c r="V35">
        <f t="shared" si="13"/>
        <v>3374</v>
      </c>
      <c r="W35">
        <f t="shared" si="14"/>
        <v>2005</v>
      </c>
      <c r="X35">
        <f t="shared" si="15"/>
        <v>20</v>
      </c>
      <c r="AS35">
        <f t="shared" si="16"/>
        <v>1</v>
      </c>
      <c r="AT35">
        <f t="shared" si="17"/>
        <v>0</v>
      </c>
      <c r="AU35">
        <f t="shared" si="18"/>
        <v>60</v>
      </c>
      <c r="AV35">
        <f t="shared" si="19"/>
        <v>70312</v>
      </c>
      <c r="AW35">
        <f t="shared" si="20"/>
        <v>336</v>
      </c>
      <c r="AX35">
        <f t="shared" si="21"/>
        <v>10000</v>
      </c>
      <c r="AY35">
        <f t="shared" si="22"/>
        <v>170</v>
      </c>
      <c r="AZ35">
        <f t="shared" si="23"/>
        <v>240</v>
      </c>
      <c r="BA35">
        <f t="shared" si="24"/>
        <v>3374</v>
      </c>
      <c r="BB35">
        <f t="shared" si="25"/>
        <v>0</v>
      </c>
      <c r="BC35">
        <f t="shared" si="26"/>
        <v>0</v>
      </c>
      <c r="BD35">
        <f t="shared" si="27"/>
        <v>0</v>
      </c>
      <c r="BE35">
        <f t="shared" si="28"/>
        <v>1</v>
      </c>
      <c r="BF35">
        <f t="shared" si="29"/>
        <v>0</v>
      </c>
      <c r="BG35">
        <f t="shared" si="30"/>
        <v>2005</v>
      </c>
      <c r="BH35">
        <f t="shared" si="31"/>
        <v>20</v>
      </c>
      <c r="BI35">
        <v>1</v>
      </c>
      <c r="BJ35">
        <v>1</v>
      </c>
      <c r="BK35">
        <v>1</v>
      </c>
      <c r="BL35">
        <v>0</v>
      </c>
      <c r="BM35">
        <f t="shared" si="32"/>
        <v>2.9647058823529413</v>
      </c>
      <c r="BO35">
        <f t="shared" si="33"/>
        <v>58.823529411764703</v>
      </c>
      <c r="BQ35">
        <f>+AV35/AU35</f>
        <v>1171.8666666666666</v>
      </c>
      <c r="BR35">
        <f>190.2*AW35</f>
        <v>63907.199999999997</v>
      </c>
      <c r="BS35">
        <f>-AV35+BR35</f>
        <v>-6404.8000000000029</v>
      </c>
      <c r="BT35">
        <f>294.5*AW35-13530-0.1524*AW35^2-3.544*AX35*BC35</f>
        <v>68216.649600000004</v>
      </c>
      <c r="BU35">
        <f>-AV35+BT35</f>
        <v>-2095.3503999999957</v>
      </c>
      <c r="BV35" s="22">
        <f t="shared" si="34"/>
        <v>-3.0716114207989417E-2</v>
      </c>
      <c r="BW35">
        <f t="shared" si="35"/>
        <v>69865.600000000006</v>
      </c>
      <c r="BX35" s="22">
        <f t="shared" si="36"/>
        <v>-2.4172257208011638E-2</v>
      </c>
      <c r="BZ35">
        <f t="shared" si="37"/>
        <v>14.058333333333334</v>
      </c>
      <c r="CA35">
        <f>+-1366+94.66*BH35+12.42*AW35-0.01212*AW35^2</f>
        <v>3332.0204799999997</v>
      </c>
      <c r="CB35">
        <f>-BA35+CA35</f>
        <v>-41.979520000000321</v>
      </c>
      <c r="CC35" s="22">
        <f t="shared" si="38"/>
        <v>-1.2598818120109611E-2</v>
      </c>
      <c r="CE35">
        <f t="shared" si="39"/>
        <v>10045.42</v>
      </c>
      <c r="CF35">
        <f t="shared" si="40"/>
        <v>45.420000000000073</v>
      </c>
      <c r="CG35" s="22">
        <f t="shared" si="41"/>
        <v>4.5214635127252094E-3</v>
      </c>
      <c r="CH35">
        <f t="shared" si="42"/>
        <v>10367.045153199551</v>
      </c>
      <c r="CI35">
        <f t="shared" si="43"/>
        <v>367.04515319955135</v>
      </c>
      <c r="CJ35" s="22">
        <f t="shared" si="44"/>
        <v>3.5404992239883443E-2</v>
      </c>
      <c r="CK35">
        <f>26*AY35 + 20*AW35 - 900 - AW35*BC35*BH35 -28*AY35*BB35</f>
        <v>10240</v>
      </c>
      <c r="CL35" s="22">
        <f t="shared" si="45"/>
        <v>-1.2254712053640593E-2</v>
      </c>
    </row>
    <row r="36" spans="1:90" x14ac:dyDescent="0.25">
      <c r="A36" t="str">
        <f>+Existing!B35</f>
        <v>Wizzowow Z99</v>
      </c>
      <c r="B36" t="str">
        <f>+Existing!A35</f>
        <v>___Y</v>
      </c>
      <c r="C36" t="str">
        <f>+Existing!C35</f>
        <v>62,109 (124,626)</v>
      </c>
      <c r="D36" t="str">
        <f>+Existing!D35</f>
        <v>321 (200)</v>
      </c>
      <c r="E36">
        <f>+Existing!E35</f>
        <v>95</v>
      </c>
      <c r="F36" t="str">
        <f>+Existing!F35</f>
        <v>5,000 (3,728)</v>
      </c>
      <c r="G36">
        <f>+Existing!G35</f>
        <v>282</v>
      </c>
      <c r="H36" t="str">
        <f>+Existing!H35</f>
        <v>3,234 (6,468)</v>
      </c>
      <c r="I36">
        <f>+Existing!I35</f>
        <v>1999</v>
      </c>
      <c r="J36">
        <f>+Existing!J35</f>
        <v>20</v>
      </c>
      <c r="K36" t="str">
        <f>+Existing!K35</f>
        <v>N/A</v>
      </c>
      <c r="M36" t="s">
        <v>338</v>
      </c>
      <c r="N36">
        <v>53</v>
      </c>
      <c r="O36">
        <f t="shared" si="8"/>
        <v>62109</v>
      </c>
      <c r="P36">
        <f t="shared" si="9"/>
        <v>321</v>
      </c>
      <c r="Q36">
        <f t="shared" si="10"/>
        <v>95</v>
      </c>
      <c r="R36">
        <f t="shared" si="11"/>
        <v>5000</v>
      </c>
      <c r="S36">
        <f t="shared" si="12"/>
        <v>282</v>
      </c>
      <c r="T36">
        <v>230</v>
      </c>
      <c r="U36" t="s">
        <v>346</v>
      </c>
      <c r="V36">
        <f t="shared" si="13"/>
        <v>3234</v>
      </c>
      <c r="W36">
        <f t="shared" si="14"/>
        <v>1999</v>
      </c>
      <c r="X36">
        <f t="shared" si="15"/>
        <v>20</v>
      </c>
      <c r="AS36">
        <f t="shared" si="16"/>
        <v>0</v>
      </c>
      <c r="AT36">
        <f t="shared" si="17"/>
        <v>1</v>
      </c>
      <c r="AU36">
        <f t="shared" si="18"/>
        <v>53</v>
      </c>
      <c r="AV36">
        <f t="shared" si="19"/>
        <v>62109</v>
      </c>
      <c r="AW36">
        <f t="shared" si="20"/>
        <v>321</v>
      </c>
      <c r="AX36">
        <f t="shared" si="21"/>
        <v>5000</v>
      </c>
      <c r="AY36">
        <f t="shared" si="22"/>
        <v>95</v>
      </c>
      <c r="AZ36">
        <f t="shared" si="23"/>
        <v>230</v>
      </c>
      <c r="BA36">
        <f t="shared" si="24"/>
        <v>3234</v>
      </c>
      <c r="BB36">
        <f t="shared" si="25"/>
        <v>0</v>
      </c>
      <c r="BC36">
        <f t="shared" si="26"/>
        <v>0</v>
      </c>
      <c r="BD36">
        <f t="shared" si="27"/>
        <v>0</v>
      </c>
      <c r="BE36">
        <f t="shared" si="28"/>
        <v>1</v>
      </c>
      <c r="BF36">
        <f t="shared" si="29"/>
        <v>0</v>
      </c>
      <c r="BG36">
        <f t="shared" si="30"/>
        <v>1999</v>
      </c>
      <c r="BH36">
        <f t="shared" si="31"/>
        <v>20</v>
      </c>
      <c r="BI36">
        <v>0</v>
      </c>
      <c r="BJ36">
        <v>0</v>
      </c>
      <c r="BK36">
        <v>0</v>
      </c>
      <c r="BL36">
        <v>1</v>
      </c>
      <c r="BM36">
        <f t="shared" si="32"/>
        <v>2.9684210526315788</v>
      </c>
      <c r="BO36">
        <f t="shared" si="33"/>
        <v>52.631578947368418</v>
      </c>
      <c r="BQ36">
        <f>+AV36/AU36</f>
        <v>1171.867924528302</v>
      </c>
      <c r="BR36">
        <f>190.2*AW36</f>
        <v>61054.2</v>
      </c>
      <c r="BS36">
        <f>-AV36+BR36</f>
        <v>-1054.8000000000029</v>
      </c>
      <c r="BT36">
        <f>294.5*AW36-13530-0.1524*AW36^2-3.544*AX36*BC36</f>
        <v>65301.051599999999</v>
      </c>
      <c r="BU36">
        <f>-AV36+BT36</f>
        <v>3192.0515999999989</v>
      </c>
      <c r="BV36" s="22">
        <f t="shared" si="34"/>
        <v>4.8882085690638385E-2</v>
      </c>
      <c r="BW36">
        <f t="shared" si="35"/>
        <v>66843.850000000006</v>
      </c>
      <c r="BX36" s="22">
        <f t="shared" si="36"/>
        <v>-2.3625934991834185E-2</v>
      </c>
      <c r="BZ36">
        <f t="shared" si="37"/>
        <v>14.060869565217391</v>
      </c>
      <c r="CA36">
        <f>+-1366+94.66*BH36+12.42*AW36-0.01212*AW36^2</f>
        <v>3265.1630800000003</v>
      </c>
      <c r="CB36">
        <f>-BA36+CA36</f>
        <v>31.163080000000264</v>
      </c>
      <c r="CC36" s="22">
        <f t="shared" si="38"/>
        <v>9.544111346499809E-3</v>
      </c>
      <c r="CE36">
        <f t="shared" si="39"/>
        <v>8214.3700000000008</v>
      </c>
      <c r="CF36">
        <f t="shared" si="40"/>
        <v>3214.3700000000008</v>
      </c>
      <c r="CG36" s="22">
        <f t="shared" si="41"/>
        <v>0.39131059350869274</v>
      </c>
      <c r="CH36">
        <f t="shared" si="42"/>
        <v>8095.7946774264728</v>
      </c>
      <c r="CI36">
        <f t="shared" si="43"/>
        <v>3095.7946774264728</v>
      </c>
      <c r="CJ36" s="22">
        <f t="shared" si="44"/>
        <v>0.38239540412981149</v>
      </c>
      <c r="CK36">
        <f>26*AY36 + 20*AW36 - 900 - AW36*BC36*BH36 -28*AY36*BB36</f>
        <v>7990</v>
      </c>
      <c r="CL36" s="22">
        <f t="shared" si="45"/>
        <v>-1.3067855799438699E-2</v>
      </c>
    </row>
    <row r="37" spans="1:90" x14ac:dyDescent="0.25">
      <c r="BV37" s="22"/>
      <c r="BX37" s="22"/>
      <c r="CC37" s="22"/>
      <c r="CG37" s="22"/>
      <c r="CJ37" s="22"/>
      <c r="CL37" s="22"/>
    </row>
    <row r="38" spans="1:90" x14ac:dyDescent="0.25">
      <c r="A38" t="str">
        <f>+Existing!B37</f>
        <v>Lev1 'Leviathan'</v>
      </c>
      <c r="B38" t="str">
        <f>+Existing!A37</f>
        <v>TSR_</v>
      </c>
      <c r="C38" t="str">
        <f>+Existing!C37</f>
        <v>82,031 (164,062)</v>
      </c>
      <c r="D38" t="str">
        <f>+Existing!D37</f>
        <v>402 (251)</v>
      </c>
      <c r="E38">
        <f>+Existing!E37</f>
        <v>105</v>
      </c>
      <c r="F38" t="str">
        <f>+Existing!F37</f>
        <v>10,000 (7,457)</v>
      </c>
      <c r="G38">
        <f>+Existing!G37</f>
        <v>311</v>
      </c>
      <c r="H38" t="str">
        <f>+Existing!H37</f>
        <v>3,515 (7,030)</v>
      </c>
      <c r="I38">
        <f>+Existing!I37</f>
        <v>2020</v>
      </c>
      <c r="J38">
        <f>+Existing!J37</f>
        <v>20</v>
      </c>
      <c r="K38" t="str">
        <f>+Existing!K37</f>
        <v>N/A</v>
      </c>
      <c r="M38" t="s">
        <v>338</v>
      </c>
      <c r="N38">
        <v>70</v>
      </c>
      <c r="O38">
        <f t="shared" si="8"/>
        <v>82031</v>
      </c>
      <c r="P38">
        <f t="shared" si="9"/>
        <v>402</v>
      </c>
      <c r="Q38">
        <f t="shared" si="10"/>
        <v>105</v>
      </c>
      <c r="R38">
        <f t="shared" si="11"/>
        <v>10000</v>
      </c>
      <c r="S38">
        <f t="shared" si="12"/>
        <v>311</v>
      </c>
      <c r="T38">
        <v>250</v>
      </c>
      <c r="U38" t="s">
        <v>347</v>
      </c>
      <c r="V38">
        <f t="shared" si="13"/>
        <v>3515</v>
      </c>
      <c r="W38">
        <f t="shared" si="14"/>
        <v>2020</v>
      </c>
      <c r="X38">
        <f t="shared" si="15"/>
        <v>20</v>
      </c>
      <c r="AS38">
        <f t="shared" si="16"/>
        <v>0</v>
      </c>
      <c r="AT38">
        <f t="shared" si="17"/>
        <v>1</v>
      </c>
      <c r="AU38">
        <f t="shared" si="18"/>
        <v>70</v>
      </c>
      <c r="AV38">
        <f t="shared" si="19"/>
        <v>82031</v>
      </c>
      <c r="AW38">
        <f t="shared" si="20"/>
        <v>402</v>
      </c>
      <c r="AX38">
        <f t="shared" si="21"/>
        <v>10000</v>
      </c>
      <c r="AY38">
        <f t="shared" si="22"/>
        <v>105</v>
      </c>
      <c r="AZ38">
        <f t="shared" si="23"/>
        <v>250</v>
      </c>
      <c r="BA38">
        <f t="shared" si="24"/>
        <v>3515</v>
      </c>
      <c r="BB38">
        <f t="shared" si="25"/>
        <v>0</v>
      </c>
      <c r="BC38">
        <f t="shared" si="26"/>
        <v>0</v>
      </c>
      <c r="BD38">
        <f t="shared" si="27"/>
        <v>0</v>
      </c>
      <c r="BE38">
        <f t="shared" si="28"/>
        <v>0</v>
      </c>
      <c r="BF38">
        <f t="shared" si="29"/>
        <v>1</v>
      </c>
      <c r="BG38">
        <f t="shared" si="30"/>
        <v>2020</v>
      </c>
      <c r="BH38">
        <f t="shared" si="31"/>
        <v>20</v>
      </c>
      <c r="BI38">
        <v>1</v>
      </c>
      <c r="BJ38">
        <v>1</v>
      </c>
      <c r="BK38">
        <v>1</v>
      </c>
      <c r="BL38">
        <v>0</v>
      </c>
      <c r="BM38">
        <f t="shared" si="32"/>
        <v>2.961904761904762</v>
      </c>
      <c r="BO38">
        <f t="shared" si="33"/>
        <v>95.238095238095241</v>
      </c>
      <c r="BQ38">
        <f>+AV38/AU38</f>
        <v>1171.8714285714286</v>
      </c>
      <c r="BR38">
        <f>190.2*AW38</f>
        <v>76460.399999999994</v>
      </c>
      <c r="BS38">
        <f>-AV38+BR38</f>
        <v>-5570.6000000000058</v>
      </c>
      <c r="BT38">
        <f>294.5*AW38-13530-0.1524*AW38^2-3.544*AX38*BC38</f>
        <v>80230.550400000007</v>
      </c>
      <c r="BU38">
        <f>-AV38+BT38</f>
        <v>-1800.4495999999926</v>
      </c>
      <c r="BV38" s="22">
        <f t="shared" si="34"/>
        <v>-2.2440947881120263E-2</v>
      </c>
      <c r="BW38">
        <f t="shared" si="35"/>
        <v>82359.399999999994</v>
      </c>
      <c r="BX38" s="22">
        <f t="shared" si="36"/>
        <v>-2.6534151758729418E-2</v>
      </c>
      <c r="BZ38">
        <f t="shared" si="37"/>
        <v>14.06</v>
      </c>
      <c r="CA38">
        <f>+-1366+94.66*BH38+12.42*AW38-0.01212*AW38^2</f>
        <v>3561.3995199999999</v>
      </c>
      <c r="CB38">
        <f>-BA38+CA38</f>
        <v>46.399519999999939</v>
      </c>
      <c r="CC38" s="22">
        <f t="shared" si="38"/>
        <v>1.302845124211168E-2</v>
      </c>
      <c r="CE38">
        <f t="shared" si="39"/>
        <v>10000.59</v>
      </c>
      <c r="CF38">
        <f t="shared" si="40"/>
        <v>0.59000000000014552</v>
      </c>
      <c r="CG38" s="22">
        <f t="shared" si="41"/>
        <v>5.8996519205381436E-5</v>
      </c>
      <c r="CH38">
        <f t="shared" si="42"/>
        <v>10000.022833913708</v>
      </c>
      <c r="CI38">
        <f t="shared" si="43"/>
        <v>2.283391370838217E-2</v>
      </c>
      <c r="CJ38" s="22">
        <f t="shared" si="44"/>
        <v>2.2833861569739699E-6</v>
      </c>
      <c r="CK38">
        <f>26*AY38 + 20*AW38 - 900 - AW38*BC38*BH38 -28*AY38*BB38</f>
        <v>9870</v>
      </c>
      <c r="CL38" s="22">
        <f t="shared" si="45"/>
        <v>-1.3002253702136923E-2</v>
      </c>
    </row>
    <row r="39" spans="1:90" x14ac:dyDescent="0.25">
      <c r="A39" t="str">
        <f>+Existing!B38</f>
        <v>Lev2 'Cyclops'</v>
      </c>
      <c r="B39" t="str">
        <f>+Existing!A38</f>
        <v>TSR_</v>
      </c>
      <c r="C39" t="str">
        <f>+Existing!C38</f>
        <v>86,718 (173,436)</v>
      </c>
      <c r="D39" t="str">
        <f>+Existing!D38</f>
        <v>450 (281)</v>
      </c>
      <c r="E39">
        <f>+Existing!E38</f>
        <v>120</v>
      </c>
      <c r="F39" t="str">
        <f>+Existing!F38</f>
        <v>12,000 (8,948)</v>
      </c>
      <c r="G39">
        <f>+Existing!G38</f>
        <v>356</v>
      </c>
      <c r="H39" t="str">
        <f>+Existing!H38</f>
        <v>3,557 (7,114)</v>
      </c>
      <c r="I39">
        <f>+Existing!I38</f>
        <v>2028</v>
      </c>
      <c r="J39">
        <f>+Existing!J38</f>
        <v>20</v>
      </c>
      <c r="K39" t="str">
        <f>+Existing!K38</f>
        <v>N/A</v>
      </c>
      <c r="M39" t="s">
        <v>338</v>
      </c>
      <c r="N39">
        <v>74</v>
      </c>
      <c r="O39">
        <f t="shared" si="8"/>
        <v>86718</v>
      </c>
      <c r="P39">
        <f t="shared" si="9"/>
        <v>450</v>
      </c>
      <c r="Q39">
        <f t="shared" si="10"/>
        <v>120</v>
      </c>
      <c r="R39">
        <f t="shared" si="11"/>
        <v>12000</v>
      </c>
      <c r="S39">
        <f t="shared" si="12"/>
        <v>356</v>
      </c>
      <c r="T39">
        <v>253</v>
      </c>
      <c r="U39" t="s">
        <v>347</v>
      </c>
      <c r="V39">
        <f t="shared" si="13"/>
        <v>3557</v>
      </c>
      <c r="W39">
        <f t="shared" si="14"/>
        <v>2028</v>
      </c>
      <c r="X39">
        <f t="shared" si="15"/>
        <v>20</v>
      </c>
      <c r="AS39">
        <f t="shared" si="16"/>
        <v>0</v>
      </c>
      <c r="AT39">
        <f t="shared" si="17"/>
        <v>1</v>
      </c>
      <c r="AU39">
        <f t="shared" si="18"/>
        <v>74</v>
      </c>
      <c r="AV39">
        <f t="shared" si="19"/>
        <v>86718</v>
      </c>
      <c r="AW39">
        <f t="shared" si="20"/>
        <v>450</v>
      </c>
      <c r="AX39">
        <f t="shared" si="21"/>
        <v>12000</v>
      </c>
      <c r="AY39">
        <f t="shared" si="22"/>
        <v>120</v>
      </c>
      <c r="AZ39">
        <f t="shared" si="23"/>
        <v>253</v>
      </c>
      <c r="BA39">
        <f t="shared" si="24"/>
        <v>3557</v>
      </c>
      <c r="BB39">
        <f t="shared" si="25"/>
        <v>0</v>
      </c>
      <c r="BC39">
        <f t="shared" si="26"/>
        <v>0</v>
      </c>
      <c r="BD39">
        <f t="shared" si="27"/>
        <v>0</v>
      </c>
      <c r="BE39">
        <f t="shared" si="28"/>
        <v>0</v>
      </c>
      <c r="BF39">
        <f t="shared" si="29"/>
        <v>1</v>
      </c>
      <c r="BG39">
        <f t="shared" si="30"/>
        <v>2028</v>
      </c>
      <c r="BH39">
        <f t="shared" si="31"/>
        <v>20</v>
      </c>
      <c r="BI39">
        <v>1</v>
      </c>
      <c r="BJ39">
        <v>1</v>
      </c>
      <c r="BK39">
        <v>1</v>
      </c>
      <c r="BL39">
        <v>0</v>
      </c>
      <c r="BM39">
        <f t="shared" si="32"/>
        <v>2.9666666666666668</v>
      </c>
      <c r="BO39">
        <f t="shared" si="33"/>
        <v>100</v>
      </c>
      <c r="BQ39">
        <f>+AV39/AU39</f>
        <v>1171.8648648648648</v>
      </c>
      <c r="BR39">
        <f>190.2*AW39</f>
        <v>85590</v>
      </c>
      <c r="BS39">
        <f>-AV39+BR39</f>
        <v>-1128</v>
      </c>
      <c r="BT39">
        <f>294.5*AW39-13530-0.1524*AW39^2-3.544*AX39*BC39</f>
        <v>88134</v>
      </c>
      <c r="BU39">
        <f>-AV39+BT39</f>
        <v>1416</v>
      </c>
      <c r="BV39" s="22">
        <f t="shared" si="34"/>
        <v>1.6066444278031181E-2</v>
      </c>
      <c r="BW39">
        <f t="shared" si="35"/>
        <v>90625</v>
      </c>
      <c r="BX39" s="22">
        <f t="shared" si="36"/>
        <v>-2.8263780152948836E-2</v>
      </c>
      <c r="BZ39">
        <f t="shared" si="37"/>
        <v>14.059288537549406</v>
      </c>
      <c r="CA39">
        <f>+-1366+94.66*BH39+12.42*AW39-0.01212*AW39^2</f>
        <v>3661.8999999999996</v>
      </c>
      <c r="CB39">
        <f>-BA39+CA39</f>
        <v>104.89999999999964</v>
      </c>
      <c r="CC39" s="22">
        <f t="shared" si="38"/>
        <v>2.8646331139572257E-2</v>
      </c>
      <c r="CE39">
        <f t="shared" si="39"/>
        <v>11245.2</v>
      </c>
      <c r="CF39">
        <f t="shared" si="40"/>
        <v>-754.79999999999927</v>
      </c>
      <c r="CG39" s="22">
        <f t="shared" si="41"/>
        <v>-6.7121972041404257E-2</v>
      </c>
      <c r="CH39">
        <f t="shared" si="42"/>
        <v>11366.459817514997</v>
      </c>
      <c r="CI39">
        <f t="shared" si="43"/>
        <v>-633.54018248500324</v>
      </c>
      <c r="CJ39" s="22">
        <f t="shared" si="44"/>
        <v>-5.5737687253225303E-2</v>
      </c>
      <c r="CK39">
        <f>26*AY39 + 20*AW39 - 900 - AW39*BC39*BH39 -28*AY39*BB39</f>
        <v>11220</v>
      </c>
      <c r="CL39" s="22">
        <f t="shared" si="45"/>
        <v>-1.2885262418234289E-2</v>
      </c>
    </row>
    <row r="40" spans="1:90" x14ac:dyDescent="0.25">
      <c r="A40" t="str">
        <f>+Existing!B39</f>
        <v>Lev3 'Pegasus'</v>
      </c>
      <c r="B40" t="str">
        <f>+Existing!A39</f>
        <v>TSR_</v>
      </c>
      <c r="C40" t="str">
        <f>+Existing!C39</f>
        <v>96,093 (192,186)</v>
      </c>
      <c r="D40" t="str">
        <f>+Existing!D39</f>
        <v>480 (300)</v>
      </c>
      <c r="E40">
        <f>+Existing!E39</f>
        <v>130</v>
      </c>
      <c r="F40" t="str">
        <f>+Existing!F39</f>
        <v>15,000 (11,185)</v>
      </c>
      <c r="G40">
        <f>+Existing!G39</f>
        <v>385</v>
      </c>
      <c r="H40" t="str">
        <f>+Existing!H39</f>
        <v>3,571 (7,142)</v>
      </c>
      <c r="I40">
        <f>+Existing!I39</f>
        <v>2035</v>
      </c>
      <c r="J40">
        <f>+Existing!J39</f>
        <v>20</v>
      </c>
      <c r="K40" t="str">
        <f>+Existing!K39</f>
        <v>N/A</v>
      </c>
      <c r="M40" t="s">
        <v>338</v>
      </c>
      <c r="N40">
        <v>82</v>
      </c>
      <c r="O40">
        <f t="shared" si="8"/>
        <v>96093</v>
      </c>
      <c r="P40">
        <f t="shared" si="9"/>
        <v>480</v>
      </c>
      <c r="Q40">
        <f t="shared" si="10"/>
        <v>130</v>
      </c>
      <c r="R40">
        <f t="shared" si="11"/>
        <v>15000</v>
      </c>
      <c r="S40">
        <f t="shared" si="12"/>
        <v>385</v>
      </c>
      <c r="T40">
        <v>254</v>
      </c>
      <c r="U40" t="s">
        <v>347</v>
      </c>
      <c r="V40">
        <f t="shared" si="13"/>
        <v>3571</v>
      </c>
      <c r="W40">
        <f t="shared" si="14"/>
        <v>2035</v>
      </c>
      <c r="X40">
        <f t="shared" si="15"/>
        <v>20</v>
      </c>
      <c r="AS40">
        <f t="shared" si="16"/>
        <v>0</v>
      </c>
      <c r="AT40">
        <f t="shared" si="17"/>
        <v>1</v>
      </c>
      <c r="AU40">
        <f t="shared" si="18"/>
        <v>82</v>
      </c>
      <c r="AV40">
        <f t="shared" si="19"/>
        <v>96093</v>
      </c>
      <c r="AW40">
        <f t="shared" si="20"/>
        <v>480</v>
      </c>
      <c r="AX40">
        <f t="shared" si="21"/>
        <v>15000</v>
      </c>
      <c r="AY40">
        <f t="shared" si="22"/>
        <v>130</v>
      </c>
      <c r="AZ40">
        <f t="shared" si="23"/>
        <v>254</v>
      </c>
      <c r="BA40">
        <f t="shared" si="24"/>
        <v>3571</v>
      </c>
      <c r="BB40">
        <f t="shared" si="25"/>
        <v>0</v>
      </c>
      <c r="BC40">
        <f t="shared" si="26"/>
        <v>0</v>
      </c>
      <c r="BD40">
        <f t="shared" si="27"/>
        <v>0</v>
      </c>
      <c r="BE40">
        <f t="shared" si="28"/>
        <v>0</v>
      </c>
      <c r="BF40">
        <f t="shared" si="29"/>
        <v>1</v>
      </c>
      <c r="BG40">
        <f t="shared" si="30"/>
        <v>2035</v>
      </c>
      <c r="BH40">
        <f t="shared" si="31"/>
        <v>20</v>
      </c>
      <c r="BI40">
        <v>1</v>
      </c>
      <c r="BJ40">
        <v>1</v>
      </c>
      <c r="BK40">
        <v>1</v>
      </c>
      <c r="BL40">
        <v>0</v>
      </c>
      <c r="BM40">
        <f t="shared" si="32"/>
        <v>2.9615384615384617</v>
      </c>
      <c r="BO40">
        <f t="shared" si="33"/>
        <v>115.38461538461539</v>
      </c>
      <c r="BQ40">
        <f>+AV40/AU40</f>
        <v>1171.8658536585365</v>
      </c>
      <c r="BR40">
        <f>190.2*AW40</f>
        <v>91296</v>
      </c>
      <c r="BS40">
        <f>-AV40+BR40</f>
        <v>-4797</v>
      </c>
      <c r="BT40">
        <f>294.5*AW40-13530-0.1524*AW40^2-3.544*AX40*BC40</f>
        <v>92717.040000000008</v>
      </c>
      <c r="BU40">
        <f>-AV40+BT40</f>
        <v>-3375.9599999999919</v>
      </c>
      <c r="BV40" s="22">
        <f t="shared" si="34"/>
        <v>-3.6411429873084725E-2</v>
      </c>
      <c r="BW40">
        <f t="shared" si="35"/>
        <v>95440</v>
      </c>
      <c r="BX40" s="22">
        <f t="shared" si="36"/>
        <v>-2.9368495801850303E-2</v>
      </c>
      <c r="BZ40">
        <f t="shared" si="37"/>
        <v>14.059055118110237</v>
      </c>
      <c r="CA40">
        <f>+-1366+94.66*BH40+12.42*AW40-0.01212*AW40^2</f>
        <v>3696.3519999999999</v>
      </c>
      <c r="CB40">
        <f>-BA40+CA40</f>
        <v>125.35199999999986</v>
      </c>
      <c r="CC40" s="22">
        <f t="shared" si="38"/>
        <v>3.3912354667520808E-2</v>
      </c>
      <c r="CE40">
        <f t="shared" si="39"/>
        <v>12035.900000000001</v>
      </c>
      <c r="CF40">
        <f t="shared" si="40"/>
        <v>-2964.0999999999985</v>
      </c>
      <c r="CG40" s="22">
        <f t="shared" si="41"/>
        <v>-0.24627157088377255</v>
      </c>
      <c r="CH40">
        <f t="shared" si="42"/>
        <v>12236.876167096005</v>
      </c>
      <c r="CI40">
        <f t="shared" si="43"/>
        <v>-2763.1238329039952</v>
      </c>
      <c r="CJ40" s="22">
        <f t="shared" si="44"/>
        <v>-0.22580303953175707</v>
      </c>
      <c r="CK40">
        <f>26*AY40 + 20*AW40 - 900 - AW40*BC40*BH40 -28*AY40*BB40</f>
        <v>12080</v>
      </c>
      <c r="CL40" s="22">
        <f t="shared" si="45"/>
        <v>-1.2819952163758308E-2</v>
      </c>
    </row>
    <row r="41" spans="1:90" x14ac:dyDescent="0.25">
      <c r="A41" t="str">
        <f>+Existing!B40</f>
        <v>Lev4 'Chimaera'</v>
      </c>
      <c r="B41" t="str">
        <f>+Existing!A40</f>
        <v>TSR_</v>
      </c>
      <c r="C41" t="str">
        <f>+Existing!C40</f>
        <v>111,328 (222,656)</v>
      </c>
      <c r="D41" t="str">
        <f>+Existing!D40</f>
        <v>643 (402)</v>
      </c>
      <c r="E41">
        <f>+Existing!E40</f>
        <v>300</v>
      </c>
      <c r="F41" t="str">
        <f>+Existing!F40</f>
        <v>20,000 (14,914)</v>
      </c>
      <c r="G41">
        <f>+Existing!G40</f>
        <v>890</v>
      </c>
      <c r="H41" t="str">
        <f>+Existing!H40</f>
        <v>3,584 (7,168)</v>
      </c>
      <c r="I41">
        <f>+Existing!I40</f>
        <v>2038</v>
      </c>
      <c r="J41">
        <f>+Existing!J40</f>
        <v>20</v>
      </c>
      <c r="K41" t="str">
        <f>+Existing!K40</f>
        <v>N/A</v>
      </c>
      <c r="M41" t="s">
        <v>339</v>
      </c>
      <c r="N41">
        <v>95</v>
      </c>
      <c r="O41">
        <f t="shared" si="8"/>
        <v>111328</v>
      </c>
      <c r="P41">
        <f t="shared" si="9"/>
        <v>643</v>
      </c>
      <c r="Q41">
        <f t="shared" si="10"/>
        <v>300</v>
      </c>
      <c r="R41">
        <f t="shared" si="11"/>
        <v>20000</v>
      </c>
      <c r="S41">
        <f t="shared" si="12"/>
        <v>890</v>
      </c>
      <c r="T41">
        <v>255</v>
      </c>
      <c r="V41">
        <f t="shared" si="13"/>
        <v>3584</v>
      </c>
      <c r="W41">
        <f t="shared" si="14"/>
        <v>2038</v>
      </c>
      <c r="X41">
        <f t="shared" si="15"/>
        <v>20</v>
      </c>
      <c r="AS41">
        <f t="shared" si="16"/>
        <v>1</v>
      </c>
      <c r="AT41">
        <f t="shared" si="17"/>
        <v>0</v>
      </c>
      <c r="AU41">
        <f t="shared" si="18"/>
        <v>95</v>
      </c>
      <c r="AV41">
        <f t="shared" si="19"/>
        <v>111328</v>
      </c>
      <c r="AW41">
        <f t="shared" si="20"/>
        <v>643</v>
      </c>
      <c r="AX41">
        <f t="shared" si="21"/>
        <v>20000</v>
      </c>
      <c r="AY41">
        <f t="shared" si="22"/>
        <v>300</v>
      </c>
      <c r="AZ41">
        <f t="shared" si="23"/>
        <v>255</v>
      </c>
      <c r="BA41">
        <f t="shared" si="24"/>
        <v>3584</v>
      </c>
      <c r="BB41">
        <f t="shared" si="25"/>
        <v>0</v>
      </c>
      <c r="BC41">
        <f t="shared" si="26"/>
        <v>0</v>
      </c>
      <c r="BD41">
        <f t="shared" si="27"/>
        <v>0</v>
      </c>
      <c r="BE41">
        <f t="shared" si="28"/>
        <v>0</v>
      </c>
      <c r="BF41">
        <f t="shared" si="29"/>
        <v>0</v>
      </c>
      <c r="BG41">
        <f t="shared" si="30"/>
        <v>2038</v>
      </c>
      <c r="BH41">
        <f t="shared" si="31"/>
        <v>20</v>
      </c>
      <c r="BI41">
        <v>1</v>
      </c>
      <c r="BJ41">
        <v>1</v>
      </c>
      <c r="BK41">
        <v>1</v>
      </c>
      <c r="BL41">
        <v>0</v>
      </c>
      <c r="BM41">
        <f t="shared" si="32"/>
        <v>2.9666666666666668</v>
      </c>
      <c r="BO41">
        <f t="shared" si="33"/>
        <v>66.666666666666671</v>
      </c>
      <c r="BQ41">
        <f>+AV41/AU41</f>
        <v>1171.8736842105263</v>
      </c>
      <c r="BR41">
        <f>190.2*AW41</f>
        <v>122298.59999999999</v>
      </c>
      <c r="BS41">
        <f>-AV41+BR41</f>
        <v>10970.599999999991</v>
      </c>
      <c r="BT41">
        <f>294.5*AW41-13530-0.1524*AW41^2-3.544*AX41*BC41</f>
        <v>112823.87239999999</v>
      </c>
      <c r="BU41">
        <f>-AV41+BT41</f>
        <v>1495.8723999999929</v>
      </c>
      <c r="BV41" s="22">
        <f t="shared" si="34"/>
        <v>1.3258474187950254E-2</v>
      </c>
      <c r="BW41">
        <f t="shared" si="35"/>
        <v>116882.65</v>
      </c>
      <c r="BX41" s="22">
        <f t="shared" si="36"/>
        <v>-3.5974457476607657E-2</v>
      </c>
      <c r="BZ41">
        <f t="shared" si="37"/>
        <v>14.054901960784314</v>
      </c>
      <c r="CA41">
        <f>+-1366+94.66*BH41+12.42*AW41-0.01212*AW41^2</f>
        <v>3502.2581200000004</v>
      </c>
      <c r="CB41">
        <f>-BA41+CA41</f>
        <v>-81.741879999999583</v>
      </c>
      <c r="CC41" s="22">
        <f t="shared" si="38"/>
        <v>-2.3339764574519587E-2</v>
      </c>
      <c r="CE41">
        <f t="shared" si="39"/>
        <v>18704.36</v>
      </c>
      <c r="CF41">
        <f t="shared" si="40"/>
        <v>-1295.6399999999994</v>
      </c>
      <c r="CG41" s="22">
        <f t="shared" si="41"/>
        <v>-6.9269410982252227E-2</v>
      </c>
      <c r="CH41">
        <f t="shared" si="42"/>
        <v>19999.979659062112</v>
      </c>
      <c r="CI41">
        <f t="shared" si="43"/>
        <v>-2.0340937888249755E-2</v>
      </c>
      <c r="CJ41" s="22">
        <f t="shared" si="44"/>
        <v>-1.0170479287979251E-6</v>
      </c>
      <c r="CK41">
        <f>26*AY41 + 20*AW41 - 900 - AW41*BC41*BH41 -28*AY41*BB41</f>
        <v>19760</v>
      </c>
      <c r="CL41" s="22">
        <f t="shared" si="45"/>
        <v>-1.1998995156646375E-2</v>
      </c>
    </row>
    <row r="42" spans="1:90" x14ac:dyDescent="0.25">
      <c r="A42" t="str">
        <f>+Existing!B41</f>
        <v>Wizzowow Rocketeer</v>
      </c>
      <c r="B42" t="str">
        <f>+Existing!A41</f>
        <v>___Y</v>
      </c>
      <c r="C42" t="str">
        <f>+Existing!C41</f>
        <v>82,031 (164,600)</v>
      </c>
      <c r="D42" t="str">
        <f>+Existing!D41</f>
        <v>482 (300)</v>
      </c>
      <c r="E42">
        <f>+Existing!E41</f>
        <v>120</v>
      </c>
      <c r="F42" t="str">
        <f>+Existing!F41</f>
        <v>10,000 (7,457)</v>
      </c>
      <c r="G42">
        <f>+Existing!G41</f>
        <v>356</v>
      </c>
      <c r="H42" t="str">
        <f>+Existing!H41</f>
        <v>3,515 (7,030)</v>
      </c>
      <c r="I42">
        <f>+Existing!I41</f>
        <v>2021</v>
      </c>
      <c r="J42">
        <f>+Existing!J41</f>
        <v>20</v>
      </c>
      <c r="K42" t="str">
        <f>+Existing!K41</f>
        <v>N/A</v>
      </c>
      <c r="M42" t="s">
        <v>338</v>
      </c>
      <c r="N42">
        <v>80</v>
      </c>
      <c r="O42">
        <f t="shared" si="8"/>
        <v>82031</v>
      </c>
      <c r="P42">
        <f t="shared" si="9"/>
        <v>482</v>
      </c>
      <c r="Q42">
        <f t="shared" si="10"/>
        <v>120</v>
      </c>
      <c r="R42">
        <f t="shared" si="11"/>
        <v>10000</v>
      </c>
      <c r="S42">
        <f t="shared" si="12"/>
        <v>356</v>
      </c>
      <c r="T42">
        <v>250</v>
      </c>
      <c r="V42">
        <f t="shared" si="13"/>
        <v>3515</v>
      </c>
      <c r="W42">
        <f t="shared" si="14"/>
        <v>2021</v>
      </c>
      <c r="X42">
        <f t="shared" si="15"/>
        <v>20</v>
      </c>
      <c r="AS42">
        <f t="shared" si="16"/>
        <v>0</v>
      </c>
      <c r="AT42">
        <f t="shared" si="17"/>
        <v>1</v>
      </c>
      <c r="AU42">
        <f t="shared" si="18"/>
        <v>80</v>
      </c>
      <c r="AV42">
        <f t="shared" si="19"/>
        <v>82031</v>
      </c>
      <c r="AW42">
        <f t="shared" si="20"/>
        <v>482</v>
      </c>
      <c r="AX42">
        <f t="shared" si="21"/>
        <v>10000</v>
      </c>
      <c r="AY42">
        <f t="shared" si="22"/>
        <v>120</v>
      </c>
      <c r="AZ42">
        <f t="shared" si="23"/>
        <v>250</v>
      </c>
      <c r="BA42">
        <f t="shared" si="24"/>
        <v>3515</v>
      </c>
      <c r="BB42">
        <f t="shared" si="25"/>
        <v>0</v>
      </c>
      <c r="BC42">
        <f t="shared" si="26"/>
        <v>0</v>
      </c>
      <c r="BD42">
        <f t="shared" si="27"/>
        <v>0</v>
      </c>
      <c r="BE42">
        <f t="shared" si="28"/>
        <v>0</v>
      </c>
      <c r="BF42">
        <f t="shared" si="29"/>
        <v>0</v>
      </c>
      <c r="BG42">
        <f t="shared" si="30"/>
        <v>2021</v>
      </c>
      <c r="BH42">
        <f t="shared" si="31"/>
        <v>20</v>
      </c>
      <c r="BI42">
        <v>0</v>
      </c>
      <c r="BJ42">
        <v>0</v>
      </c>
      <c r="BK42">
        <v>0</v>
      </c>
      <c r="BL42">
        <v>1</v>
      </c>
      <c r="BM42">
        <f t="shared" si="32"/>
        <v>2.9666666666666668</v>
      </c>
      <c r="BO42">
        <f t="shared" si="33"/>
        <v>83.333333333333329</v>
      </c>
      <c r="BQ42">
        <f>+AV42/AU42</f>
        <v>1025.3875</v>
      </c>
      <c r="BR42">
        <f>190.2*AW42</f>
        <v>91676.4</v>
      </c>
      <c r="BS42">
        <f>-AV42+BR42</f>
        <v>9645.3999999999942</v>
      </c>
      <c r="BT42">
        <f>294.5*AW42-13530-0.1524*AW42^2-3.544*AX42*BC42</f>
        <v>93012.822400000005</v>
      </c>
      <c r="BU42">
        <f>-AV42+BT42</f>
        <v>10981.822400000005</v>
      </c>
      <c r="BV42" s="22">
        <f t="shared" si="34"/>
        <v>0.11806783319371679</v>
      </c>
      <c r="BW42">
        <f t="shared" si="35"/>
        <v>95751.4</v>
      </c>
      <c r="BX42" s="22">
        <f t="shared" si="36"/>
        <v>-2.9443011504615813E-2</v>
      </c>
      <c r="BZ42">
        <f t="shared" si="37"/>
        <v>14.06</v>
      </c>
      <c r="CA42">
        <f>+-1366+94.66*BH42+12.42*AW42-0.01212*AW42^2</f>
        <v>3697.8731199999993</v>
      </c>
      <c r="CB42">
        <f>-BA42+CA42</f>
        <v>182.87311999999929</v>
      </c>
      <c r="CC42" s="22">
        <f t="shared" si="38"/>
        <v>4.9453595097930056E-2</v>
      </c>
      <c r="CE42">
        <f t="shared" si="39"/>
        <v>11869.84</v>
      </c>
      <c r="CF42">
        <f t="shared" si="40"/>
        <v>1869.8400000000001</v>
      </c>
      <c r="CG42" s="22">
        <f t="shared" si="41"/>
        <v>0.15752866087495704</v>
      </c>
      <c r="CH42">
        <f t="shared" si="42"/>
        <v>12015.126049299299</v>
      </c>
      <c r="CI42">
        <f t="shared" si="43"/>
        <v>2015.1260492992988</v>
      </c>
      <c r="CJ42" s="22">
        <f t="shared" si="44"/>
        <v>0.1677157643649371</v>
      </c>
      <c r="CK42">
        <f>26*AY42 + 20*AW42 - 900 - AW42*BC42*BH42 -28*AY42*BB42</f>
        <v>11860</v>
      </c>
      <c r="CL42" s="22">
        <f t="shared" si="45"/>
        <v>-1.291089653681543E-2</v>
      </c>
    </row>
  </sheetData>
  <sortState ref="B13:T18">
    <sortCondition ref="I13:I18"/>
  </sortState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C41"/>
  <sheetViews>
    <sheetView topLeftCell="M1" workbookViewId="0">
      <selection activeCell="AA5" sqref="AA5"/>
    </sheetView>
  </sheetViews>
  <sheetFormatPr defaultRowHeight="15" x14ac:dyDescent="0.25"/>
  <cols>
    <col min="7" max="7" width="10.5703125" bestFit="1" customWidth="1"/>
    <col min="22" max="22" width="2.85546875" customWidth="1"/>
    <col min="23" max="23" width="9.140625" customWidth="1"/>
  </cols>
  <sheetData>
    <row r="1" spans="2:29" ht="20.25" thickBot="1" x14ac:dyDescent="0.35">
      <c r="B1" t="s">
        <v>19</v>
      </c>
      <c r="C1" t="s">
        <v>181</v>
      </c>
      <c r="AC1" s="16" t="s">
        <v>3</v>
      </c>
    </row>
    <row r="2" spans="2:29" ht="15.75" thickTop="1" x14ac:dyDescent="0.25">
      <c r="B2">
        <v>1830</v>
      </c>
      <c r="C2">
        <v>29</v>
      </c>
      <c r="F2" t="s">
        <v>182</v>
      </c>
      <c r="G2">
        <v>29</v>
      </c>
      <c r="X2" t="s">
        <v>450</v>
      </c>
      <c r="Y2" s="27">
        <v>2.9999999999999999E-192</v>
      </c>
    </row>
    <row r="3" spans="2:29" x14ac:dyDescent="0.25">
      <c r="F3" t="s">
        <v>183</v>
      </c>
      <c r="G3">
        <v>1.0999999999999999E-2</v>
      </c>
      <c r="X3" t="s">
        <v>451</v>
      </c>
      <c r="Y3">
        <v>58.695999999999998</v>
      </c>
    </row>
    <row r="4" spans="2:29" x14ac:dyDescent="0.25">
      <c r="B4">
        <v>2007</v>
      </c>
      <c r="C4">
        <v>357</v>
      </c>
      <c r="H4" t="s">
        <v>189</v>
      </c>
      <c r="J4" t="s">
        <v>184</v>
      </c>
      <c r="K4" t="s">
        <v>185</v>
      </c>
      <c r="L4" t="s">
        <v>186</v>
      </c>
      <c r="M4" t="s">
        <v>187</v>
      </c>
      <c r="N4" t="s">
        <v>188</v>
      </c>
      <c r="Q4" t="s">
        <v>184</v>
      </c>
      <c r="R4" t="s">
        <v>185</v>
      </c>
      <c r="S4" t="s">
        <v>186</v>
      </c>
      <c r="T4" t="s">
        <v>187</v>
      </c>
      <c r="U4" t="s">
        <v>188</v>
      </c>
      <c r="W4" t="s">
        <v>447</v>
      </c>
      <c r="X4" t="s">
        <v>335</v>
      </c>
      <c r="Y4" t="s">
        <v>448</v>
      </c>
      <c r="Z4" t="s">
        <v>449</v>
      </c>
    </row>
    <row r="5" spans="2:29" x14ac:dyDescent="0.25">
      <c r="F5">
        <v>1830</v>
      </c>
      <c r="G5">
        <f>+G$2*(1+$G$3)^(F5-F$5)</f>
        <v>29</v>
      </c>
      <c r="H5">
        <v>29</v>
      </c>
      <c r="I5">
        <v>1830</v>
      </c>
      <c r="P5">
        <v>1830</v>
      </c>
      <c r="Q5">
        <f>+G5</f>
        <v>29</v>
      </c>
      <c r="W5" s="12">
        <f>+(P5-1830)/(2160-1830)*(2046-1947)+1947</f>
        <v>1947</v>
      </c>
      <c r="X5" s="21">
        <f>+MAX(Q5:U5)</f>
        <v>29</v>
      </c>
      <c r="Y5" s="21">
        <f>+AA5</f>
        <v>31.715007767453049</v>
      </c>
      <c r="Z5" s="21">
        <f>+(Y5-X5)^2/X5</f>
        <v>0.25418162680449613</v>
      </c>
      <c r="AA5" s="21">
        <f>+EXP(0.03157*W5 - 58.01)</f>
        <v>31.715007767453049</v>
      </c>
    </row>
    <row r="6" spans="2:29" x14ac:dyDescent="0.25">
      <c r="B6">
        <v>2035</v>
      </c>
      <c r="C6">
        <v>480</v>
      </c>
      <c r="F6">
        <f>+F5+10</f>
        <v>1840</v>
      </c>
      <c r="G6" s="12">
        <f t="shared" ref="G6:G41" si="0">+G$2*(1+$G$3)^(F6-F$5)</f>
        <v>32.35262723150759</v>
      </c>
      <c r="I6">
        <f>+I5+10</f>
        <v>1840</v>
      </c>
      <c r="J6" s="13">
        <v>1.7000000000000001E-2</v>
      </c>
      <c r="P6">
        <f>+P5+10</f>
        <v>1840</v>
      </c>
      <c r="Q6" s="12">
        <f>+Q5*(1+J6)^(I6-I5)</f>
        <v>34.324761407639841</v>
      </c>
      <c r="W6" s="12">
        <f t="shared" ref="W6:W38" si="1">+(P6-1830)/(2160-1830)*(2046-1947)+1947</f>
        <v>1950</v>
      </c>
      <c r="X6" s="21">
        <f t="shared" ref="X6:X38" si="2">+MAX(Q6:U6)</f>
        <v>34.324761407639841</v>
      </c>
      <c r="Y6" s="21">
        <f t="shared" ref="Y6:Y38" si="3">+AA6</f>
        <v>34.865576648405586</v>
      </c>
      <c r="Z6" s="21">
        <f t="shared" ref="Z6:Z38" si="4">+(Y6-X6)^2/X6</f>
        <v>8.5209951256765941E-3</v>
      </c>
      <c r="AA6" s="21">
        <f t="shared" ref="AA6:AA39" si="5">+EXP(0.03157*W6 - 58.01)</f>
        <v>34.865576648405586</v>
      </c>
    </row>
    <row r="7" spans="2:29" x14ac:dyDescent="0.25">
      <c r="F7">
        <f t="shared" ref="F7:F41" si="6">+F6+10</f>
        <v>1850</v>
      </c>
      <c r="G7" s="12">
        <f t="shared" si="0"/>
        <v>36.092844440720221</v>
      </c>
      <c r="I7">
        <f t="shared" ref="I7:I41" si="7">+I6+10</f>
        <v>1850</v>
      </c>
      <c r="J7" s="13">
        <f>+J6</f>
        <v>1.7000000000000001E-2</v>
      </c>
      <c r="P7">
        <f t="shared" ref="P7:P38" si="8">+P6+10</f>
        <v>1850</v>
      </c>
      <c r="Q7" s="12">
        <f t="shared" ref="Q7:Q18" si="9">+Q6*(1+J7)^(I7-I6)</f>
        <v>40.627215368669013</v>
      </c>
      <c r="W7" s="12">
        <f t="shared" si="1"/>
        <v>1953</v>
      </c>
      <c r="X7" s="21">
        <f t="shared" si="2"/>
        <v>40.627215368669013</v>
      </c>
      <c r="Y7" s="21">
        <f t="shared" si="3"/>
        <v>38.329123042919164</v>
      </c>
      <c r="Z7" s="21">
        <f t="shared" si="4"/>
        <v>0.1299923780093267</v>
      </c>
      <c r="AA7" s="21">
        <f t="shared" si="5"/>
        <v>38.329123042919164</v>
      </c>
    </row>
    <row r="8" spans="2:29" x14ac:dyDescent="0.25">
      <c r="F8">
        <f t="shared" si="6"/>
        <v>1860</v>
      </c>
      <c r="G8" s="12">
        <f t="shared" si="0"/>
        <v>40.265460066048696</v>
      </c>
      <c r="I8">
        <f t="shared" si="7"/>
        <v>1860</v>
      </c>
      <c r="J8" s="13">
        <f t="shared" ref="J8:J18" si="10">+J7</f>
        <v>1.7000000000000001E-2</v>
      </c>
      <c r="P8">
        <f t="shared" si="8"/>
        <v>1860</v>
      </c>
      <c r="Q8" s="12">
        <f t="shared" si="9"/>
        <v>48.086878420219392</v>
      </c>
      <c r="W8" s="12">
        <f t="shared" si="1"/>
        <v>1956</v>
      </c>
      <c r="X8" s="21">
        <f t="shared" si="2"/>
        <v>48.086878420219392</v>
      </c>
      <c r="Y8" s="21">
        <f t="shared" si="3"/>
        <v>42.136738137283039</v>
      </c>
      <c r="Z8" s="21">
        <f t="shared" si="4"/>
        <v>0.73625426623108248</v>
      </c>
      <c r="AA8" s="21">
        <f t="shared" si="5"/>
        <v>42.136738137283039</v>
      </c>
    </row>
    <row r="9" spans="2:29" x14ac:dyDescent="0.25">
      <c r="F9">
        <f t="shared" si="6"/>
        <v>1870</v>
      </c>
      <c r="G9" s="12">
        <f t="shared" si="0"/>
        <v>44.920462752483743</v>
      </c>
      <c r="I9">
        <f t="shared" si="7"/>
        <v>1870</v>
      </c>
      <c r="J9" s="13">
        <f t="shared" si="10"/>
        <v>1.7000000000000001E-2</v>
      </c>
      <c r="P9">
        <f t="shared" si="8"/>
        <v>1870</v>
      </c>
      <c r="Q9" s="12">
        <f t="shared" si="9"/>
        <v>56.916228572835017</v>
      </c>
      <c r="W9" s="12">
        <f t="shared" si="1"/>
        <v>1959</v>
      </c>
      <c r="X9" s="21">
        <f t="shared" si="2"/>
        <v>56.916228572835017</v>
      </c>
      <c r="Y9" s="21">
        <f t="shared" si="3"/>
        <v>46.322601716241607</v>
      </c>
      <c r="Z9" s="21">
        <f t="shared" si="4"/>
        <v>1.9717562598710185</v>
      </c>
      <c r="AA9" s="21">
        <f t="shared" si="5"/>
        <v>46.322601716241607</v>
      </c>
    </row>
    <row r="10" spans="2:29" x14ac:dyDescent="0.25">
      <c r="F10">
        <f t="shared" si="6"/>
        <v>1880</v>
      </c>
      <c r="G10" s="12">
        <f t="shared" si="0"/>
        <v>50.113620224066473</v>
      </c>
      <c r="I10">
        <f t="shared" si="7"/>
        <v>1880</v>
      </c>
      <c r="J10" s="13">
        <v>0.01</v>
      </c>
      <c r="P10">
        <f t="shared" si="8"/>
        <v>1880</v>
      </c>
      <c r="Q10" s="12">
        <f t="shared" si="9"/>
        <v>62.870925376514954</v>
      </c>
      <c r="W10" s="12">
        <f t="shared" si="1"/>
        <v>1962</v>
      </c>
      <c r="X10" s="21">
        <f t="shared" si="2"/>
        <v>62.870925376514954</v>
      </c>
      <c r="Y10" s="21">
        <f t="shared" si="3"/>
        <v>50.924288984365823</v>
      </c>
      <c r="Z10" s="21">
        <f t="shared" si="4"/>
        <v>2.2700814443481208</v>
      </c>
      <c r="AA10" s="21">
        <f t="shared" si="5"/>
        <v>50.924288984365823</v>
      </c>
    </row>
    <row r="11" spans="2:29" x14ac:dyDescent="0.25">
      <c r="F11">
        <f t="shared" si="6"/>
        <v>1890</v>
      </c>
      <c r="G11" s="12">
        <f t="shared" si="0"/>
        <v>55.907147390709056</v>
      </c>
      <c r="H11">
        <v>70</v>
      </c>
      <c r="I11">
        <f t="shared" si="7"/>
        <v>1890</v>
      </c>
      <c r="J11" s="13">
        <f t="shared" si="10"/>
        <v>0.01</v>
      </c>
      <c r="P11">
        <f t="shared" si="8"/>
        <v>1890</v>
      </c>
      <c r="Q11" s="12">
        <f t="shared" si="9"/>
        <v>69.448615215975195</v>
      </c>
      <c r="W11" s="12">
        <f t="shared" si="1"/>
        <v>1965</v>
      </c>
      <c r="X11" s="21">
        <f t="shared" si="2"/>
        <v>69.448615215975195</v>
      </c>
      <c r="Y11" s="21">
        <f t="shared" si="3"/>
        <v>55.983107867059779</v>
      </c>
      <c r="Z11" s="21">
        <f t="shared" si="4"/>
        <v>2.6108495842547232</v>
      </c>
      <c r="AA11" s="21">
        <f t="shared" si="5"/>
        <v>55.983107867059779</v>
      </c>
    </row>
    <row r="12" spans="2:29" x14ac:dyDescent="0.25">
      <c r="F12">
        <f t="shared" si="6"/>
        <v>1900</v>
      </c>
      <c r="G12" s="12">
        <f t="shared" si="0"/>
        <v>62.370451693398685</v>
      </c>
      <c r="I12">
        <f t="shared" si="7"/>
        <v>1900</v>
      </c>
      <c r="J12" s="13">
        <f t="shared" si="10"/>
        <v>0.01</v>
      </c>
      <c r="P12">
        <f t="shared" si="8"/>
        <v>1900</v>
      </c>
      <c r="Q12" s="12">
        <f t="shared" si="9"/>
        <v>76.714476946735459</v>
      </c>
      <c r="W12" s="12">
        <f t="shared" si="1"/>
        <v>1968</v>
      </c>
      <c r="X12" s="21">
        <f t="shared" si="2"/>
        <v>76.714476946735459</v>
      </c>
      <c r="Y12" s="21">
        <f t="shared" si="3"/>
        <v>61.544469819049809</v>
      </c>
      <c r="Z12" s="21">
        <f t="shared" si="4"/>
        <v>2.9998134043697791</v>
      </c>
      <c r="AA12" s="21">
        <f t="shared" si="5"/>
        <v>61.544469819049809</v>
      </c>
    </row>
    <row r="13" spans="2:29" x14ac:dyDescent="0.25">
      <c r="F13">
        <f t="shared" si="6"/>
        <v>1910</v>
      </c>
      <c r="G13" s="12">
        <f t="shared" si="0"/>
        <v>69.580964617147544</v>
      </c>
      <c r="I13">
        <f t="shared" si="7"/>
        <v>1910</v>
      </c>
      <c r="J13" s="13">
        <v>1.4999999999999999E-2</v>
      </c>
      <c r="P13">
        <f t="shared" si="8"/>
        <v>1910</v>
      </c>
      <c r="Q13" s="12">
        <f t="shared" si="9"/>
        <v>89.030282367137104</v>
      </c>
      <c r="W13" s="12">
        <f t="shared" si="1"/>
        <v>1971</v>
      </c>
      <c r="X13" s="21">
        <f t="shared" si="2"/>
        <v>89.030282367137104</v>
      </c>
      <c r="Y13" s="21">
        <f t="shared" si="3"/>
        <v>67.658297468986802</v>
      </c>
      <c r="Z13" s="21">
        <f t="shared" si="4"/>
        <v>5.1304087366947924</v>
      </c>
      <c r="AA13" s="21">
        <f t="shared" si="5"/>
        <v>67.658297468986802</v>
      </c>
    </row>
    <row r="14" spans="2:29" x14ac:dyDescent="0.25">
      <c r="F14">
        <f t="shared" si="6"/>
        <v>1920</v>
      </c>
      <c r="G14" s="12">
        <f t="shared" si="0"/>
        <v>77.625069333354958</v>
      </c>
      <c r="I14">
        <f t="shared" si="7"/>
        <v>1920</v>
      </c>
      <c r="J14" s="13">
        <f t="shared" si="10"/>
        <v>1.4999999999999999E-2</v>
      </c>
      <c r="P14">
        <f t="shared" si="8"/>
        <v>1920</v>
      </c>
      <c r="Q14" s="12">
        <f t="shared" si="9"/>
        <v>103.32327735057923</v>
      </c>
      <c r="W14" s="12">
        <f t="shared" si="1"/>
        <v>1974</v>
      </c>
      <c r="X14" s="21">
        <f t="shared" si="2"/>
        <v>103.32327735057923</v>
      </c>
      <c r="Y14" s="21">
        <f t="shared" si="3"/>
        <v>74.379472759467831</v>
      </c>
      <c r="Z14" s="21">
        <f t="shared" si="4"/>
        <v>8.1079873353799012</v>
      </c>
      <c r="AA14" s="21">
        <f t="shared" si="5"/>
        <v>74.379472759467831</v>
      </c>
    </row>
    <row r="15" spans="2:29" x14ac:dyDescent="0.25">
      <c r="F15">
        <f t="shared" si="6"/>
        <v>1930</v>
      </c>
      <c r="G15" s="12">
        <f t="shared" si="0"/>
        <v>86.599135584895322</v>
      </c>
      <c r="H15">
        <v>113</v>
      </c>
      <c r="I15">
        <f t="shared" si="7"/>
        <v>1930</v>
      </c>
      <c r="J15" s="13">
        <v>8.5000000000000006E-3</v>
      </c>
      <c r="P15">
        <f t="shared" si="8"/>
        <v>1930</v>
      </c>
      <c r="Q15" s="12">
        <f t="shared" si="9"/>
        <v>112.44941456764104</v>
      </c>
      <c r="R15">
        <v>70</v>
      </c>
      <c r="S15" s="12">
        <f>+R15*(1+L16)</f>
        <v>65.099999999999994</v>
      </c>
      <c r="W15" s="12">
        <f t="shared" si="1"/>
        <v>1977</v>
      </c>
      <c r="X15" s="21">
        <f t="shared" si="2"/>
        <v>112.44941456764104</v>
      </c>
      <c r="Y15" s="21">
        <f t="shared" si="3"/>
        <v>81.768329605283299</v>
      </c>
      <c r="Z15" s="21">
        <f t="shared" si="4"/>
        <v>8.3711327274290284</v>
      </c>
      <c r="AA15" s="21">
        <f t="shared" si="5"/>
        <v>81.768329605283299</v>
      </c>
    </row>
    <row r="16" spans="2:29" x14ac:dyDescent="0.25">
      <c r="F16">
        <f t="shared" si="6"/>
        <v>1940</v>
      </c>
      <c r="G16" s="12">
        <f t="shared" si="0"/>
        <v>96.6106742120311</v>
      </c>
      <c r="I16">
        <f t="shared" si="7"/>
        <v>1940</v>
      </c>
      <c r="J16" s="13">
        <v>1.5E-3</v>
      </c>
      <c r="K16" s="15">
        <v>2.5000000000000001E-2</v>
      </c>
      <c r="L16" s="14">
        <v>-7.0000000000000007E-2</v>
      </c>
      <c r="P16">
        <f t="shared" si="8"/>
        <v>1940</v>
      </c>
      <c r="Q16" s="12">
        <f t="shared" si="9"/>
        <v>114.14758695115692</v>
      </c>
      <c r="R16" s="12">
        <f t="shared" ref="R16:R23" si="11">+R15*(1+K16)^(I16-I15)</f>
        <v>89.60591809374499</v>
      </c>
      <c r="S16" s="12">
        <f>++S15*(1+K16)^(I16-I15)*(1+L17)</f>
        <v>79.166828635823691</v>
      </c>
      <c r="W16" s="12">
        <f t="shared" si="1"/>
        <v>1980</v>
      </c>
      <c r="X16" s="21">
        <f t="shared" si="2"/>
        <v>114.14758695115692</v>
      </c>
      <c r="Y16" s="21">
        <f t="shared" si="3"/>
        <v>89.891195492336621</v>
      </c>
      <c r="Z16" s="21">
        <f t="shared" si="4"/>
        <v>5.1544893967429353</v>
      </c>
      <c r="AA16" s="21">
        <f t="shared" si="5"/>
        <v>89.891195492336621</v>
      </c>
    </row>
    <row r="17" spans="6:27" x14ac:dyDescent="0.25">
      <c r="F17">
        <f t="shared" si="6"/>
        <v>1950</v>
      </c>
      <c r="G17" s="12">
        <f t="shared" si="0"/>
        <v>107.77962515056778</v>
      </c>
      <c r="H17">
        <v>80</v>
      </c>
      <c r="I17">
        <f t="shared" si="7"/>
        <v>1950</v>
      </c>
      <c r="J17" s="13">
        <f>+J16</f>
        <v>1.5E-3</v>
      </c>
      <c r="K17" s="15">
        <v>2.1000000000000001E-2</v>
      </c>
      <c r="L17" s="14">
        <v>-0.05</v>
      </c>
      <c r="P17">
        <f t="shared" si="8"/>
        <v>1950</v>
      </c>
      <c r="Q17" s="12">
        <f t="shared" si="9"/>
        <v>115.87140454994781</v>
      </c>
      <c r="R17" s="12">
        <f t="shared" si="11"/>
        <v>110.30472463832042</v>
      </c>
      <c r="S17" s="12">
        <f t="shared" ref="S17:S27" si="12">++S16*(1+K17)^(I17-I16)*(1+L18)</f>
        <v>94.530597491417396</v>
      </c>
      <c r="W17" s="12">
        <f t="shared" si="1"/>
        <v>1983</v>
      </c>
      <c r="X17" s="21">
        <f t="shared" si="2"/>
        <v>115.87140454994781</v>
      </c>
      <c r="Y17" s="21">
        <f t="shared" si="3"/>
        <v>98.820986879000387</v>
      </c>
      <c r="Z17" s="21">
        <f t="shared" si="4"/>
        <v>2.5089602036233116</v>
      </c>
      <c r="AA17" s="21">
        <f t="shared" si="5"/>
        <v>98.820986879000387</v>
      </c>
    </row>
    <row r="18" spans="6:27" x14ac:dyDescent="0.25">
      <c r="F18">
        <f t="shared" si="6"/>
        <v>1960</v>
      </c>
      <c r="G18" s="12">
        <f t="shared" si="0"/>
        <v>120.23979433268757</v>
      </c>
      <c r="I18">
        <f t="shared" si="7"/>
        <v>1960</v>
      </c>
      <c r="J18" s="13">
        <f t="shared" si="10"/>
        <v>1.5E-3</v>
      </c>
      <c r="K18" s="15">
        <v>1.4E-2</v>
      </c>
      <c r="L18" s="14">
        <v>-0.03</v>
      </c>
      <c r="P18">
        <f t="shared" si="8"/>
        <v>1960</v>
      </c>
      <c r="Q18" s="12">
        <f t="shared" si="9"/>
        <v>117.6212546492345</v>
      </c>
      <c r="R18" s="12">
        <f t="shared" si="11"/>
        <v>126.75749989224552</v>
      </c>
      <c r="S18" s="12">
        <f t="shared" si="12"/>
        <v>107.54423818395337</v>
      </c>
      <c r="W18" s="12">
        <f t="shared" si="1"/>
        <v>1986</v>
      </c>
      <c r="X18" s="21">
        <f t="shared" si="2"/>
        <v>126.75749989224552</v>
      </c>
      <c r="Y18" s="21">
        <f t="shared" si="3"/>
        <v>108.63786374464337</v>
      </c>
      <c r="Z18" s="21">
        <f t="shared" si="4"/>
        <v>2.5901521756155734</v>
      </c>
      <c r="AA18" s="21">
        <f t="shared" si="5"/>
        <v>108.63786374464337</v>
      </c>
    </row>
    <row r="19" spans="6:27" x14ac:dyDescent="0.25">
      <c r="F19">
        <f t="shared" si="6"/>
        <v>1970</v>
      </c>
      <c r="G19" s="12">
        <f t="shared" si="0"/>
        <v>134.14045670477861</v>
      </c>
      <c r="I19">
        <f t="shared" si="7"/>
        <v>1970</v>
      </c>
      <c r="K19" s="15">
        <v>7.0000000000000001E-3</v>
      </c>
      <c r="L19" s="14">
        <v>-0.01</v>
      </c>
      <c r="P19">
        <f t="shared" si="8"/>
        <v>1970</v>
      </c>
      <c r="R19" s="12">
        <f t="shared" si="11"/>
        <v>135.91530696306796</v>
      </c>
      <c r="S19" s="12">
        <f t="shared" si="12"/>
        <v>117.62023012802437</v>
      </c>
      <c r="W19" s="12">
        <f t="shared" si="1"/>
        <v>1989</v>
      </c>
      <c r="X19" s="21">
        <f t="shared" si="2"/>
        <v>135.91530696306796</v>
      </c>
      <c r="Y19" s="21">
        <f t="shared" si="3"/>
        <v>119.42994916100845</v>
      </c>
      <c r="Z19" s="21">
        <f t="shared" si="4"/>
        <v>1.9995321199235578</v>
      </c>
      <c r="AA19" s="21">
        <f t="shared" si="5"/>
        <v>119.42994916100845</v>
      </c>
    </row>
    <row r="20" spans="6:27" x14ac:dyDescent="0.25">
      <c r="F20">
        <f t="shared" si="6"/>
        <v>1980</v>
      </c>
      <c r="G20" s="12">
        <f t="shared" si="0"/>
        <v>149.64814456668569</v>
      </c>
      <c r="I20">
        <f t="shared" si="7"/>
        <v>1980</v>
      </c>
      <c r="K20" s="15">
        <v>5.4999999999999997E-3</v>
      </c>
      <c r="L20" s="14">
        <v>0.02</v>
      </c>
      <c r="P20">
        <f t="shared" si="8"/>
        <v>1980</v>
      </c>
      <c r="R20" s="12">
        <f t="shared" si="11"/>
        <v>143.57840339782467</v>
      </c>
      <c r="S20" s="12">
        <f t="shared" si="12"/>
        <v>130.46441558152162</v>
      </c>
      <c r="W20" s="12">
        <f t="shared" si="1"/>
        <v>1992</v>
      </c>
      <c r="X20" s="21">
        <f t="shared" si="2"/>
        <v>143.57840339782467</v>
      </c>
      <c r="Y20" s="21">
        <f t="shared" si="3"/>
        <v>131.29412034581227</v>
      </c>
      <c r="Z20" s="21">
        <f t="shared" si="4"/>
        <v>1.0510188616865852</v>
      </c>
      <c r="AA20" s="21">
        <f t="shared" si="5"/>
        <v>131.29412034581227</v>
      </c>
    </row>
    <row r="21" spans="6:27" x14ac:dyDescent="0.25">
      <c r="F21">
        <f t="shared" si="6"/>
        <v>1990</v>
      </c>
      <c r="G21" s="12">
        <f t="shared" si="0"/>
        <v>166.94864265699101</v>
      </c>
      <c r="I21">
        <f t="shared" si="7"/>
        <v>1990</v>
      </c>
      <c r="K21" s="15">
        <v>3.0000000000000001E-3</v>
      </c>
      <c r="L21" s="14">
        <v>0.05</v>
      </c>
      <c r="P21">
        <f t="shared" si="8"/>
        <v>1990</v>
      </c>
      <c r="R21" s="12">
        <f t="shared" si="11"/>
        <v>147.94437239824518</v>
      </c>
      <c r="S21" s="12">
        <f t="shared" si="12"/>
        <v>143.84182384403641</v>
      </c>
      <c r="W21" s="12">
        <f t="shared" si="1"/>
        <v>1995</v>
      </c>
      <c r="X21" s="21">
        <f t="shared" si="2"/>
        <v>147.94437239824518</v>
      </c>
      <c r="Y21" s="21">
        <f t="shared" si="3"/>
        <v>144.33687829960522</v>
      </c>
      <c r="Z21" s="21">
        <f t="shared" si="4"/>
        <v>8.7965587745982482E-2</v>
      </c>
      <c r="AA21" s="21">
        <f t="shared" si="5"/>
        <v>144.33687829960522</v>
      </c>
    </row>
    <row r="22" spans="6:27" x14ac:dyDescent="0.25">
      <c r="F22">
        <f t="shared" si="6"/>
        <v>2000</v>
      </c>
      <c r="G22" s="12">
        <f t="shared" si="0"/>
        <v>186.24921388578608</v>
      </c>
      <c r="I22">
        <f t="shared" si="7"/>
        <v>2000</v>
      </c>
      <c r="K22" s="15">
        <v>2E-3</v>
      </c>
      <c r="L22" s="14">
        <v>7.0000000000000007E-2</v>
      </c>
      <c r="P22">
        <f t="shared" si="8"/>
        <v>2000</v>
      </c>
      <c r="R22" s="12">
        <f t="shared" si="11"/>
        <v>150.93003235812733</v>
      </c>
      <c r="S22" s="12">
        <f t="shared" si="12"/>
        <v>158.48426565557673</v>
      </c>
      <c r="T22" s="12"/>
      <c r="W22" s="12">
        <f t="shared" si="1"/>
        <v>1998</v>
      </c>
      <c r="X22" s="21">
        <f t="shared" si="2"/>
        <v>158.48426565557673</v>
      </c>
      <c r="Y22" s="21">
        <f t="shared" si="3"/>
        <v>158.67530383236647</v>
      </c>
      <c r="Z22" s="21">
        <f t="shared" si="4"/>
        <v>2.3027891658632105E-4</v>
      </c>
      <c r="AA22" s="21">
        <f t="shared" si="5"/>
        <v>158.67530383236647</v>
      </c>
    </row>
    <row r="23" spans="6:27" x14ac:dyDescent="0.25">
      <c r="F23">
        <v>2007</v>
      </c>
      <c r="G23" s="12">
        <f>+G$2*(1+$G$3)^(F23-F$5)</f>
        <v>201.07243509994146</v>
      </c>
      <c r="H23">
        <v>357</v>
      </c>
      <c r="I23">
        <f t="shared" si="7"/>
        <v>2010</v>
      </c>
      <c r="K23" s="15">
        <v>1E-3</v>
      </c>
      <c r="L23" s="14">
        <v>0.08</v>
      </c>
      <c r="M23" s="14"/>
      <c r="P23">
        <f t="shared" si="8"/>
        <v>2010</v>
      </c>
      <c r="R23" s="12">
        <f t="shared" si="11"/>
        <v>152.44614267650178</v>
      </c>
      <c r="S23" s="12">
        <f t="shared" si="12"/>
        <v>171.28159729640677</v>
      </c>
      <c r="T23" s="12">
        <v>148</v>
      </c>
      <c r="W23" s="12">
        <f t="shared" si="1"/>
        <v>2001</v>
      </c>
      <c r="X23" s="21">
        <f t="shared" si="2"/>
        <v>171.28159729640677</v>
      </c>
      <c r="Y23" s="21">
        <f t="shared" si="3"/>
        <v>174.438108561772</v>
      </c>
      <c r="Z23" s="21">
        <f t="shared" si="4"/>
        <v>5.8170658877820934E-2</v>
      </c>
      <c r="AA23" s="21">
        <f t="shared" si="5"/>
        <v>174.438108561772</v>
      </c>
    </row>
    <row r="24" spans="6:27" x14ac:dyDescent="0.25">
      <c r="F24">
        <v>2010</v>
      </c>
      <c r="G24" s="12">
        <f t="shared" si="0"/>
        <v>207.78108237959191</v>
      </c>
      <c r="H24">
        <v>175</v>
      </c>
      <c r="I24">
        <f t="shared" si="7"/>
        <v>2020</v>
      </c>
      <c r="K24" s="15">
        <v>3.0000000000000001E-3</v>
      </c>
      <c r="L24" s="14">
        <v>7.0000000000000007E-2</v>
      </c>
      <c r="M24" s="13">
        <v>1.4999999999999999E-2</v>
      </c>
      <c r="P24">
        <f t="shared" si="8"/>
        <v>2020</v>
      </c>
      <c r="R24" s="12"/>
      <c r="S24" s="12">
        <f t="shared" si="12"/>
        <v>185.31447074552355</v>
      </c>
      <c r="T24" s="12">
        <f>+T23*(1+M24)^(I24-I23)</f>
        <v>171.76004210372199</v>
      </c>
      <c r="W24" s="12">
        <f t="shared" si="1"/>
        <v>2004</v>
      </c>
      <c r="X24" s="21">
        <f t="shared" si="2"/>
        <v>185.31447074552355</v>
      </c>
      <c r="Y24" s="21">
        <f t="shared" si="3"/>
        <v>191.7667903176357</v>
      </c>
      <c r="Z24" s="21">
        <f t="shared" si="4"/>
        <v>0.22465826706988087</v>
      </c>
      <c r="AA24" s="21">
        <f t="shared" si="5"/>
        <v>191.7667903176357</v>
      </c>
    </row>
    <row r="25" spans="6:27" x14ac:dyDescent="0.25">
      <c r="F25">
        <f t="shared" si="6"/>
        <v>2020</v>
      </c>
      <c r="G25" s="12">
        <f t="shared" si="0"/>
        <v>231.80220358572777</v>
      </c>
      <c r="I25">
        <f t="shared" si="7"/>
        <v>2030</v>
      </c>
      <c r="K25" s="15">
        <v>2.5000000000000001E-3</v>
      </c>
      <c r="L25" s="14">
        <v>0.05</v>
      </c>
      <c r="M25" s="13">
        <v>1.2999999999999999E-2</v>
      </c>
      <c r="P25">
        <f t="shared" si="8"/>
        <v>2030</v>
      </c>
      <c r="R25" s="12"/>
      <c r="S25" s="12">
        <f t="shared" si="12"/>
        <v>197.59979324635592</v>
      </c>
      <c r="T25" s="12">
        <f t="shared" ref="T25:T32" si="13">+T24*(1+M25)^(I25-I24)</f>
        <v>195.44141194527563</v>
      </c>
      <c r="U25" s="12"/>
      <c r="W25" s="12">
        <f t="shared" si="1"/>
        <v>2007</v>
      </c>
      <c r="X25" s="21">
        <f t="shared" si="2"/>
        <v>197.59979324635592</v>
      </c>
      <c r="Y25" s="21">
        <f t="shared" si="3"/>
        <v>210.81690332422673</v>
      </c>
      <c r="Z25" s="21">
        <f t="shared" si="4"/>
        <v>0.88406974491495749</v>
      </c>
      <c r="AA25" s="21">
        <f t="shared" si="5"/>
        <v>210.81690332422673</v>
      </c>
    </row>
    <row r="26" spans="6:27" x14ac:dyDescent="0.25">
      <c r="F26">
        <f t="shared" si="6"/>
        <v>2030</v>
      </c>
      <c r="G26" s="12">
        <f t="shared" si="0"/>
        <v>258.60035462245111</v>
      </c>
      <c r="I26">
        <f t="shared" si="7"/>
        <v>2040</v>
      </c>
      <c r="K26" s="15">
        <v>2.5000000000000001E-3</v>
      </c>
      <c r="L26" s="14">
        <v>0.04</v>
      </c>
      <c r="M26" s="13">
        <v>1.0999999999999999E-2</v>
      </c>
      <c r="P26">
        <f t="shared" si="8"/>
        <v>2040</v>
      </c>
      <c r="R26" s="12"/>
      <c r="S26" s="12">
        <f t="shared" si="12"/>
        <v>210.6995645505778</v>
      </c>
      <c r="T26" s="12">
        <f t="shared" si="13"/>
        <v>218.03597056086264</v>
      </c>
      <c r="U26" s="12"/>
      <c r="W26" s="12">
        <f t="shared" si="1"/>
        <v>2010</v>
      </c>
      <c r="X26" s="21">
        <f t="shared" si="2"/>
        <v>218.03597056086264</v>
      </c>
      <c r="Y26" s="21">
        <f t="shared" si="3"/>
        <v>231.75945456249897</v>
      </c>
      <c r="Z26" s="21">
        <f t="shared" si="4"/>
        <v>0.8637749663906803</v>
      </c>
      <c r="AA26" s="21">
        <f t="shared" si="5"/>
        <v>231.75945456249897</v>
      </c>
    </row>
    <row r="27" spans="6:27" x14ac:dyDescent="0.25">
      <c r="F27">
        <v>2035</v>
      </c>
      <c r="G27" s="12">
        <f t="shared" si="0"/>
        <v>273.13974149898581</v>
      </c>
      <c r="H27">
        <v>480</v>
      </c>
      <c r="I27">
        <f t="shared" si="7"/>
        <v>2050</v>
      </c>
      <c r="K27" s="15">
        <v>2.5000000000000001E-3</v>
      </c>
      <c r="L27" s="14">
        <v>0.04</v>
      </c>
      <c r="M27" s="13">
        <v>8.9999999999999993E-3</v>
      </c>
      <c r="P27">
        <f t="shared" si="8"/>
        <v>2050</v>
      </c>
      <c r="R27" s="12"/>
      <c r="S27" s="12">
        <f t="shared" si="12"/>
        <v>224.66777810063226</v>
      </c>
      <c r="T27" s="12">
        <f t="shared" si="13"/>
        <v>238.47332649178972</v>
      </c>
      <c r="U27" s="12"/>
      <c r="W27" s="12">
        <f t="shared" si="1"/>
        <v>2013</v>
      </c>
      <c r="X27" s="21">
        <f t="shared" si="2"/>
        <v>238.47332649178972</v>
      </c>
      <c r="Y27" s="21">
        <f t="shared" si="3"/>
        <v>254.78243884694461</v>
      </c>
      <c r="Z27" s="21">
        <f t="shared" si="4"/>
        <v>1.1153748292357701</v>
      </c>
      <c r="AA27" s="21">
        <f t="shared" si="5"/>
        <v>254.78243884694461</v>
      </c>
    </row>
    <row r="28" spans="6:27" x14ac:dyDescent="0.25">
      <c r="F28">
        <v>2040</v>
      </c>
      <c r="G28" s="12">
        <f t="shared" si="0"/>
        <v>288.49658189778722</v>
      </c>
      <c r="I28">
        <f t="shared" si="7"/>
        <v>2060</v>
      </c>
      <c r="K28" s="15">
        <v>2.5000000000000001E-3</v>
      </c>
      <c r="L28" s="14">
        <v>0.04</v>
      </c>
      <c r="M28" s="13">
        <v>8.0000000000000002E-3</v>
      </c>
      <c r="P28">
        <f t="shared" si="8"/>
        <v>2060</v>
      </c>
      <c r="R28" s="12"/>
      <c r="S28" s="12"/>
      <c r="T28" s="12">
        <f t="shared" si="13"/>
        <v>258.25285470021583</v>
      </c>
      <c r="U28" s="12">
        <v>225</v>
      </c>
      <c r="W28" s="12">
        <f t="shared" si="1"/>
        <v>2016</v>
      </c>
      <c r="X28" s="21">
        <f t="shared" si="2"/>
        <v>258.25285470021583</v>
      </c>
      <c r="Y28" s="21">
        <f t="shared" si="3"/>
        <v>280.09252639698275</v>
      </c>
      <c r="Z28" s="21">
        <f t="shared" si="4"/>
        <v>1.8469157306169486</v>
      </c>
      <c r="AA28" s="21">
        <f t="shared" si="5"/>
        <v>280.09252639698275</v>
      </c>
    </row>
    <row r="29" spans="6:27" x14ac:dyDescent="0.25">
      <c r="F29">
        <f t="shared" si="6"/>
        <v>2050</v>
      </c>
      <c r="G29" s="12">
        <f t="shared" si="0"/>
        <v>321.84904730011078</v>
      </c>
      <c r="I29">
        <f t="shared" si="7"/>
        <v>2070</v>
      </c>
      <c r="K29" s="15">
        <v>2.5000000000000001E-3</v>
      </c>
      <c r="L29" s="14">
        <v>0.05</v>
      </c>
      <c r="M29" s="13">
        <v>7.0000000000000001E-3</v>
      </c>
      <c r="N29" s="13">
        <v>1.2999999999999999E-2</v>
      </c>
      <c r="O29" s="13"/>
      <c r="P29">
        <f t="shared" si="8"/>
        <v>2070</v>
      </c>
      <c r="R29" s="12"/>
      <c r="S29" s="12"/>
      <c r="T29" s="12">
        <f t="shared" si="13"/>
        <v>276.91076307521683</v>
      </c>
      <c r="U29" s="12">
        <f>+U28*(1+N29)^(I29-I28)</f>
        <v>256.02181478933227</v>
      </c>
      <c r="W29" s="12">
        <f t="shared" si="1"/>
        <v>2019</v>
      </c>
      <c r="X29" s="21">
        <f t="shared" si="2"/>
        <v>276.91076307521683</v>
      </c>
      <c r="Y29" s="21">
        <f t="shared" si="3"/>
        <v>307.91691805169262</v>
      </c>
      <c r="Z29" s="21">
        <f t="shared" si="4"/>
        <v>3.4718103252783119</v>
      </c>
      <c r="AA29" s="21">
        <f t="shared" si="5"/>
        <v>307.91691805169262</v>
      </c>
    </row>
    <row r="30" spans="6:27" x14ac:dyDescent="0.25">
      <c r="F30">
        <f t="shared" si="6"/>
        <v>2060</v>
      </c>
      <c r="G30" s="12">
        <f t="shared" si="0"/>
        <v>359.05731903849443</v>
      </c>
      <c r="I30">
        <f t="shared" si="7"/>
        <v>2080</v>
      </c>
      <c r="M30" s="13">
        <v>6.0000000000000001E-3</v>
      </c>
      <c r="N30" s="13">
        <f t="shared" ref="N30:N37" si="14">+N29</f>
        <v>1.2999999999999999E-2</v>
      </c>
      <c r="O30" s="13"/>
      <c r="P30">
        <f t="shared" si="8"/>
        <v>2080</v>
      </c>
      <c r="R30" s="12"/>
      <c r="S30" s="12"/>
      <c r="T30" s="12">
        <f t="shared" si="13"/>
        <v>293.98125773226735</v>
      </c>
      <c r="U30" s="12">
        <f t="shared" ref="U30:U38" si="15">+U29*(1+N30)^(I30-I29)</f>
        <v>291.32075399121402</v>
      </c>
      <c r="W30" s="12">
        <f t="shared" si="1"/>
        <v>2022</v>
      </c>
      <c r="X30" s="21">
        <f t="shared" si="2"/>
        <v>293.98125773226735</v>
      </c>
      <c r="Y30" s="21">
        <f t="shared" si="3"/>
        <v>338.50538478156795</v>
      </c>
      <c r="Z30" s="21">
        <f t="shared" si="4"/>
        <v>6.7432798430560421</v>
      </c>
      <c r="AA30" s="21">
        <f t="shared" si="5"/>
        <v>338.50538478156795</v>
      </c>
    </row>
    <row r="31" spans="6:27" x14ac:dyDescent="0.25">
      <c r="F31">
        <f t="shared" si="6"/>
        <v>2070</v>
      </c>
      <c r="G31" s="12">
        <f t="shared" si="0"/>
        <v>400.56715853782418</v>
      </c>
      <c r="I31">
        <f t="shared" si="7"/>
        <v>2090</v>
      </c>
      <c r="M31" s="13">
        <v>6.0000000000000001E-3</v>
      </c>
      <c r="N31" s="13">
        <f t="shared" si="14"/>
        <v>1.2999999999999999E-2</v>
      </c>
      <c r="O31" s="13"/>
      <c r="P31">
        <f t="shared" si="8"/>
        <v>2090</v>
      </c>
      <c r="R31" s="12"/>
      <c r="S31" s="12"/>
      <c r="T31" s="12">
        <f t="shared" si="13"/>
        <v>312.10408341683097</v>
      </c>
      <c r="U31" s="12">
        <f t="shared" si="15"/>
        <v>331.48652498945432</v>
      </c>
      <c r="W31" s="12">
        <f t="shared" si="1"/>
        <v>2025</v>
      </c>
      <c r="X31" s="21">
        <f t="shared" si="2"/>
        <v>331.48652498945432</v>
      </c>
      <c r="Y31" s="21">
        <f t="shared" si="3"/>
        <v>372.13250980539129</v>
      </c>
      <c r="Z31" s="21">
        <f t="shared" si="4"/>
        <v>4.983901175801754</v>
      </c>
      <c r="AA31" s="21">
        <f t="shared" si="5"/>
        <v>372.13250980539129</v>
      </c>
    </row>
    <row r="32" spans="6:27" x14ac:dyDescent="0.25">
      <c r="F32">
        <f t="shared" si="6"/>
        <v>2080</v>
      </c>
      <c r="G32" s="12">
        <f t="shared" si="0"/>
        <v>446.87586073649749</v>
      </c>
      <c r="H32">
        <v>300</v>
      </c>
      <c r="I32">
        <f t="shared" si="7"/>
        <v>2100</v>
      </c>
      <c r="M32" s="13">
        <v>7.0000000000000001E-3</v>
      </c>
      <c r="N32" s="13">
        <f t="shared" si="14"/>
        <v>1.2999999999999999E-2</v>
      </c>
      <c r="O32" s="13"/>
      <c r="P32">
        <f t="shared" si="8"/>
        <v>2100</v>
      </c>
      <c r="R32" s="12"/>
      <c r="S32" s="12"/>
      <c r="T32" s="12">
        <f t="shared" si="13"/>
        <v>334.65256365963245</v>
      </c>
      <c r="U32" s="12">
        <f t="shared" si="15"/>
        <v>377.19014091559745</v>
      </c>
      <c r="W32" s="12">
        <f t="shared" si="1"/>
        <v>2028</v>
      </c>
      <c r="X32" s="21">
        <f t="shared" si="2"/>
        <v>377.19014091559745</v>
      </c>
      <c r="Y32" s="21">
        <f t="shared" si="3"/>
        <v>409.10015343897771</v>
      </c>
      <c r="Z32" s="21">
        <f t="shared" si="4"/>
        <v>2.6995639301986292</v>
      </c>
      <c r="AA32" s="21">
        <f t="shared" si="5"/>
        <v>409.10015343897771</v>
      </c>
    </row>
    <row r="33" spans="6:27" x14ac:dyDescent="0.25">
      <c r="F33">
        <f t="shared" si="6"/>
        <v>2090</v>
      </c>
      <c r="G33" s="12">
        <f t="shared" si="0"/>
        <v>498.53821176437947</v>
      </c>
      <c r="I33">
        <f t="shared" si="7"/>
        <v>2110</v>
      </c>
      <c r="N33" s="13">
        <f t="shared" si="14"/>
        <v>1.2999999999999999E-2</v>
      </c>
      <c r="O33" s="13"/>
      <c r="P33">
        <f t="shared" si="8"/>
        <v>2110</v>
      </c>
      <c r="R33" s="12"/>
      <c r="S33" s="12"/>
      <c r="T33" s="12"/>
      <c r="U33" s="12">
        <f t="shared" si="15"/>
        <v>429.19513065713431</v>
      </c>
      <c r="W33" s="12">
        <f t="shared" si="1"/>
        <v>2031</v>
      </c>
      <c r="X33" s="21">
        <f t="shared" si="2"/>
        <v>429.19513065713431</v>
      </c>
      <c r="Y33" s="21">
        <f t="shared" si="3"/>
        <v>449.74016280200743</v>
      </c>
      <c r="Z33" s="21">
        <f t="shared" si="4"/>
        <v>0.98346489902530165</v>
      </c>
      <c r="AA33" s="21">
        <f t="shared" si="5"/>
        <v>449.74016280200743</v>
      </c>
    </row>
    <row r="34" spans="6:27" x14ac:dyDescent="0.25">
      <c r="F34">
        <f t="shared" si="6"/>
        <v>2100</v>
      </c>
      <c r="G34" s="12">
        <f t="shared" si="0"/>
        <v>556.17313537501241</v>
      </c>
      <c r="I34">
        <f t="shared" si="7"/>
        <v>2120</v>
      </c>
      <c r="N34" s="13">
        <f t="shared" si="14"/>
        <v>1.2999999999999999E-2</v>
      </c>
      <c r="O34" s="13"/>
      <c r="P34">
        <f t="shared" si="8"/>
        <v>2120</v>
      </c>
      <c r="R34" s="12"/>
      <c r="S34" s="12"/>
      <c r="T34" s="12"/>
      <c r="U34" s="12">
        <f t="shared" si="15"/>
        <v>488.37029444259599</v>
      </c>
      <c r="W34" s="12">
        <f t="shared" si="1"/>
        <v>2034</v>
      </c>
      <c r="X34" s="21">
        <f t="shared" si="2"/>
        <v>488.37029444259599</v>
      </c>
      <c r="Y34" s="21">
        <f t="shared" si="3"/>
        <v>494.41735070711417</v>
      </c>
      <c r="Z34" s="21">
        <f t="shared" si="4"/>
        <v>7.4875335134755333E-2</v>
      </c>
      <c r="AA34" s="21">
        <f t="shared" si="5"/>
        <v>494.41735070711417</v>
      </c>
    </row>
    <row r="35" spans="6:27" x14ac:dyDescent="0.25">
      <c r="F35">
        <f t="shared" si="6"/>
        <v>2110</v>
      </c>
      <c r="G35" s="12">
        <f t="shared" si="0"/>
        <v>620.4711077574683</v>
      </c>
      <c r="I35">
        <f t="shared" si="7"/>
        <v>2130</v>
      </c>
      <c r="N35" s="13">
        <f t="shared" si="14"/>
        <v>1.2999999999999999E-2</v>
      </c>
      <c r="O35" s="13"/>
      <c r="P35">
        <f t="shared" si="8"/>
        <v>2130</v>
      </c>
      <c r="R35" s="12"/>
      <c r="S35" s="12"/>
      <c r="T35" s="12"/>
      <c r="U35" s="12">
        <f t="shared" si="15"/>
        <v>555.7042180995287</v>
      </c>
      <c r="W35" s="12">
        <f t="shared" si="1"/>
        <v>2037</v>
      </c>
      <c r="X35" s="21">
        <f t="shared" si="2"/>
        <v>555.7042180995287</v>
      </c>
      <c r="Y35" s="21">
        <f t="shared" si="3"/>
        <v>543.53277047187021</v>
      </c>
      <c r="Z35" s="21">
        <f t="shared" si="4"/>
        <v>0.26658811023511153</v>
      </c>
      <c r="AA35" s="21">
        <f t="shared" si="5"/>
        <v>543.53277047187021</v>
      </c>
    </row>
    <row r="36" spans="6:27" x14ac:dyDescent="0.25">
      <c r="F36">
        <f t="shared" si="6"/>
        <v>2120</v>
      </c>
      <c r="G36" s="12">
        <f t="shared" si="0"/>
        <v>692.20242955854997</v>
      </c>
      <c r="I36">
        <f t="shared" si="7"/>
        <v>2140</v>
      </c>
      <c r="N36" s="13">
        <f t="shared" si="14"/>
        <v>1.2999999999999999E-2</v>
      </c>
      <c r="O36" s="13"/>
      <c r="P36">
        <f t="shared" si="8"/>
        <v>2140</v>
      </c>
      <c r="R36" s="12"/>
      <c r="S36" s="12"/>
      <c r="T36" s="12"/>
      <c r="U36" s="12">
        <f t="shared" si="15"/>
        <v>632.32178846190322</v>
      </c>
      <c r="W36" s="12">
        <f t="shared" si="1"/>
        <v>2040</v>
      </c>
      <c r="X36" s="21">
        <f t="shared" si="2"/>
        <v>632.32178846190322</v>
      </c>
      <c r="Y36" s="21">
        <f t="shared" si="3"/>
        <v>597.5273160505036</v>
      </c>
      <c r="Z36" s="21">
        <f t="shared" si="4"/>
        <v>1.9146190001336487</v>
      </c>
      <c r="AA36" s="21">
        <f t="shared" si="5"/>
        <v>597.5273160505036</v>
      </c>
    </row>
    <row r="37" spans="6:27" x14ac:dyDescent="0.25">
      <c r="F37">
        <f t="shared" si="6"/>
        <v>2130</v>
      </c>
      <c r="G37" s="12">
        <f t="shared" si="0"/>
        <v>772.22645421557445</v>
      </c>
      <c r="I37">
        <f t="shared" si="7"/>
        <v>2150</v>
      </c>
      <c r="N37" s="13">
        <f t="shared" si="14"/>
        <v>1.2999999999999999E-2</v>
      </c>
      <c r="O37" s="13"/>
      <c r="P37">
        <f t="shared" si="8"/>
        <v>2150</v>
      </c>
      <c r="R37" s="12"/>
      <c r="S37" s="12"/>
      <c r="T37" s="12"/>
      <c r="U37" s="12">
        <f t="shared" si="15"/>
        <v>719.50298583490087</v>
      </c>
      <c r="W37" s="12">
        <f t="shared" si="1"/>
        <v>2043</v>
      </c>
      <c r="X37" s="21">
        <f t="shared" si="2"/>
        <v>719.50298583490087</v>
      </c>
      <c r="Y37" s="21">
        <f t="shared" si="3"/>
        <v>656.885679802818</v>
      </c>
      <c r="Z37" s="21">
        <f t="shared" si="4"/>
        <v>5.4494937365210987</v>
      </c>
      <c r="AA37" s="21">
        <f t="shared" si="5"/>
        <v>656.885679802818</v>
      </c>
    </row>
    <row r="38" spans="6:27" x14ac:dyDescent="0.25">
      <c r="F38">
        <f t="shared" si="6"/>
        <v>2140</v>
      </c>
      <c r="G38" s="12">
        <f t="shared" si="0"/>
        <v>861.50188315673574</v>
      </c>
      <c r="I38">
        <f t="shared" si="7"/>
        <v>2160</v>
      </c>
      <c r="N38" s="13">
        <v>5.0000000000000001E-3</v>
      </c>
      <c r="O38" s="13"/>
      <c r="P38">
        <f t="shared" si="8"/>
        <v>2160</v>
      </c>
      <c r="U38" s="12">
        <f t="shared" si="15"/>
        <v>756.29846353423977</v>
      </c>
      <c r="W38" s="12">
        <f t="shared" si="1"/>
        <v>2046</v>
      </c>
      <c r="X38" s="21">
        <f t="shared" si="2"/>
        <v>756.29846353423977</v>
      </c>
      <c r="Y38" s="21">
        <f t="shared" si="3"/>
        <v>722.14070342774676</v>
      </c>
      <c r="Z38" s="21">
        <f t="shared" si="4"/>
        <v>1.542714459633308</v>
      </c>
      <c r="AA38" s="21">
        <f t="shared" si="5"/>
        <v>722.14070342774676</v>
      </c>
    </row>
    <row r="39" spans="6:27" x14ac:dyDescent="0.25">
      <c r="F39">
        <f t="shared" si="6"/>
        <v>2150</v>
      </c>
      <c r="G39" s="12">
        <f t="shared" si="0"/>
        <v>961.0982512072992</v>
      </c>
      <c r="I39">
        <f t="shared" si="7"/>
        <v>2170</v>
      </c>
      <c r="W39">
        <v>2047.5</v>
      </c>
      <c r="AA39" s="21">
        <f t="shared" si="5"/>
        <v>757.16030911971222</v>
      </c>
    </row>
    <row r="40" spans="6:27" x14ac:dyDescent="0.25">
      <c r="F40">
        <f t="shared" si="6"/>
        <v>2160</v>
      </c>
      <c r="G40" s="12">
        <f t="shared" si="0"/>
        <v>1072.2087397987445</v>
      </c>
      <c r="I40">
        <f t="shared" si="7"/>
        <v>2180</v>
      </c>
      <c r="P40" t="s">
        <v>335</v>
      </c>
      <c r="Q40" s="21">
        <f>+MAX(Q5:Q38)</f>
        <v>117.6212546492345</v>
      </c>
      <c r="R40" s="21">
        <f t="shared" ref="R40:U40" si="16">+MAX(R5:R38)</f>
        <v>152.44614267650178</v>
      </c>
      <c r="S40" s="21">
        <f t="shared" si="16"/>
        <v>224.66777810063226</v>
      </c>
      <c r="T40" s="21">
        <f t="shared" si="16"/>
        <v>334.65256365963245</v>
      </c>
      <c r="U40" s="21">
        <f t="shared" si="16"/>
        <v>756.29846353423977</v>
      </c>
      <c r="Z40" s="21">
        <f>+SUM(Z5:Z38)</f>
        <v>79.106602394896512</v>
      </c>
    </row>
    <row r="41" spans="6:27" x14ac:dyDescent="0.25">
      <c r="F41">
        <f t="shared" si="6"/>
        <v>2170</v>
      </c>
      <c r="G41" s="12">
        <f t="shared" si="0"/>
        <v>1196.1644714852862</v>
      </c>
      <c r="I41">
        <f t="shared" si="7"/>
        <v>2190</v>
      </c>
      <c r="P41" t="s">
        <v>181</v>
      </c>
      <c r="Q41" s="12">
        <f>+Q40/1.62</f>
        <v>72.605712746441043</v>
      </c>
      <c r="R41" s="12">
        <f t="shared" ref="R41:U41" si="17">+R40/1.62</f>
        <v>94.10255720771714</v>
      </c>
      <c r="S41" s="12">
        <f t="shared" si="17"/>
        <v>138.68381364236558</v>
      </c>
      <c r="T41" s="12">
        <f t="shared" si="17"/>
        <v>206.57565658002002</v>
      </c>
      <c r="U41" s="12">
        <f t="shared" si="17"/>
        <v>466.85090341619735</v>
      </c>
    </row>
  </sheetData>
  <pageMargins left="0.7" right="0.7" top="0.75" bottom="0.75" header="0.3" footer="0.3"/>
  <pageSetup paperSize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77"/>
  <sheetViews>
    <sheetView workbookViewId="0">
      <pane xSplit="4" ySplit="1" topLeftCell="K26" activePane="bottomRight" state="frozen"/>
      <selection pane="topRight" activeCell="E1" sqref="E1"/>
      <selection pane="bottomLeft" activeCell="A2" sqref="A2"/>
      <selection pane="bottomRight" activeCell="R37" sqref="R37"/>
    </sheetView>
  </sheetViews>
  <sheetFormatPr defaultRowHeight="15" x14ac:dyDescent="0.25"/>
  <cols>
    <col min="2" max="3" width="13.140625" customWidth="1"/>
    <col min="4" max="4" width="16.85546875" bestFit="1" customWidth="1"/>
    <col min="5" max="5" width="12.7109375" customWidth="1"/>
    <col min="6" max="6" width="12.7109375" hidden="1" customWidth="1"/>
    <col min="7" max="8" width="12.7109375" customWidth="1"/>
    <col min="9" max="9" width="16.28515625" customWidth="1"/>
    <col min="10" max="27" width="9.140625" customWidth="1"/>
    <col min="30" max="30" width="32" bestFit="1" customWidth="1"/>
  </cols>
  <sheetData>
    <row r="1" spans="1:31" s="17" customFormat="1" ht="45" x14ac:dyDescent="0.25">
      <c r="B1" s="17" t="s">
        <v>190</v>
      </c>
      <c r="C1" s="17" t="s">
        <v>261</v>
      </c>
      <c r="D1" s="17" t="s">
        <v>191</v>
      </c>
      <c r="E1" s="18" t="s">
        <v>232</v>
      </c>
      <c r="F1" s="18" t="s">
        <v>193</v>
      </c>
      <c r="G1" s="18" t="s">
        <v>192</v>
      </c>
      <c r="H1" s="18" t="s">
        <v>265</v>
      </c>
      <c r="I1" s="18" t="s">
        <v>194</v>
      </c>
      <c r="J1" s="17" t="s">
        <v>209</v>
      </c>
      <c r="K1" s="17" t="s">
        <v>373</v>
      </c>
      <c r="L1" s="17" t="s">
        <v>4</v>
      </c>
      <c r="M1" s="17" t="s">
        <v>374</v>
      </c>
      <c r="N1" s="17" t="s">
        <v>5</v>
      </c>
      <c r="O1" s="17" t="s">
        <v>375</v>
      </c>
      <c r="P1" s="17" t="s">
        <v>376</v>
      </c>
      <c r="Q1" s="17" t="s">
        <v>180</v>
      </c>
      <c r="R1" s="17" t="s">
        <v>379</v>
      </c>
      <c r="S1" s="17" t="s">
        <v>378</v>
      </c>
      <c r="U1" s="17" t="s">
        <v>381</v>
      </c>
      <c r="V1" s="17" t="s">
        <v>405</v>
      </c>
      <c r="W1" s="17" t="s">
        <v>382</v>
      </c>
      <c r="X1" s="17" t="s">
        <v>383</v>
      </c>
      <c r="Y1" s="17" t="s">
        <v>406</v>
      </c>
      <c r="Z1" s="17" t="s">
        <v>407</v>
      </c>
      <c r="AA1" s="17" t="s">
        <v>408</v>
      </c>
      <c r="AC1" s="17" t="s">
        <v>334</v>
      </c>
      <c r="AD1" s="17" t="s">
        <v>316</v>
      </c>
      <c r="AE1" s="17" t="s">
        <v>282</v>
      </c>
    </row>
    <row r="2" spans="1:31" x14ac:dyDescent="0.25">
      <c r="A2">
        <v>1</v>
      </c>
      <c r="B2" t="s">
        <v>195</v>
      </c>
      <c r="C2" s="19" t="s">
        <v>412</v>
      </c>
      <c r="D2" t="s">
        <v>380</v>
      </c>
      <c r="E2">
        <f>+'Proposed Streams'!P5</f>
        <v>1830</v>
      </c>
      <c r="I2" s="12">
        <f>ROUND('Proposed Streams'!Q5,0)</f>
        <v>29</v>
      </c>
      <c r="J2" t="s">
        <v>184</v>
      </c>
      <c r="K2">
        <v>12</v>
      </c>
      <c r="L2">
        <v>6</v>
      </c>
      <c r="M2" s="21">
        <f>-900+26*L2+20*I2*1.62-I2*1.62*K2*IF(J2="Diesel",1,0)-28*L2*IF(J2="Steam",1,0)</f>
        <v>27.600000000000023</v>
      </c>
      <c r="N2" s="21">
        <f>+ROUND(M2*1,-1)</f>
        <v>30</v>
      </c>
      <c r="O2" s="21">
        <f>MAX((-13530 + 294.5 *I2*1.62 -0.1524 * (I2*1.62) ^ 2 - 3.544 * N2 * IF(J2="Diesel",1,0))/1171.8, 1)</f>
        <v>1</v>
      </c>
      <c r="P2" s="21">
        <f>( -1366 + 94.66 * K2 + 12.42 * (I2*1.62) - 0.01212 * (I2*1.62) ^ 2)/16.4</f>
        <v>19.91837199707318</v>
      </c>
      <c r="Q2" s="21">
        <f>+P2</f>
        <v>19.91837199707318</v>
      </c>
      <c r="R2" s="21">
        <v>5</v>
      </c>
      <c r="S2" s="12">
        <f>+N2/L2</f>
        <v>5</v>
      </c>
      <c r="U2">
        <v>4</v>
      </c>
      <c r="V2">
        <v>2</v>
      </c>
      <c r="W2">
        <f>+L2/U2</f>
        <v>1.5</v>
      </c>
      <c r="X2" t="str">
        <f>+IF(W2&lt;10,"A",IF(W2&lt;20,"B",IF(W2&lt;30,"C",IF(W2&lt;40,"D","E"))))</f>
        <v>A</v>
      </c>
      <c r="Y2">
        <v>0.2</v>
      </c>
      <c r="Z2">
        <f>+Y2*(V2/U2)</f>
        <v>0.1</v>
      </c>
      <c r="AA2" s="25">
        <f>ROUND(MAX(8/(I2*1.62),0.004),3)</f>
        <v>0.17</v>
      </c>
      <c r="AC2" t="s">
        <v>414</v>
      </c>
      <c r="AD2" t="s">
        <v>413</v>
      </c>
      <c r="AE2" t="s">
        <v>315</v>
      </c>
    </row>
    <row r="3" spans="1:31" x14ac:dyDescent="0.25">
      <c r="A3">
        <v>2</v>
      </c>
      <c r="B3" t="s">
        <v>196</v>
      </c>
      <c r="E3">
        <f>+'Proposed Streams'!P6</f>
        <v>1840</v>
      </c>
      <c r="I3" s="12">
        <f>ROUND('Proposed Streams'!Q6,0)</f>
        <v>34</v>
      </c>
      <c r="J3" t="s">
        <v>184</v>
      </c>
      <c r="K3">
        <v>15</v>
      </c>
      <c r="L3">
        <v>28</v>
      </c>
      <c r="M3" s="21">
        <f t="shared" ref="M3:M58" si="0">-900+26*L3+20*I3*1.62-I3*1.62*K3*IF(J3="Diesel",1,0)-28*L3*IF(J3="Steam",1,0)</f>
        <v>145.60000000000014</v>
      </c>
      <c r="N3" s="21">
        <f t="shared" ref="N3:N15" si="1">+ROUND(M3*1,-1)</f>
        <v>150</v>
      </c>
      <c r="O3" s="21">
        <f t="shared" ref="O3:O58" si="2">MAX((-13530 + 294.5 *I3*1.62 -0.1524 * (I3*1.62) ^ 2 - 3.544 * N3 * IF(J3="Diesel",1,0))/1171.8, 1)</f>
        <v>1.9019524702508972</v>
      </c>
      <c r="P3" s="21">
        <f t="shared" ref="P3:P15" si="3">( -1366 + 94.66 * K3 + 12.42 * (I3*1.62) - 0.01212 * (I3*1.62) ^ 2)/16.4</f>
        <v>42.757552831219513</v>
      </c>
      <c r="Q3" s="21">
        <f t="shared" ref="Q3:Q24" si="4">+P3</f>
        <v>42.757552831219513</v>
      </c>
      <c r="R3" s="12">
        <f>+(R$15-R$2)/(A$15-A$2)*(A3-A$2)+R$2</f>
        <v>5.384615384615385</v>
      </c>
      <c r="S3" s="12">
        <f t="shared" ref="S3:S58" si="5">+N3/L3</f>
        <v>5.3571428571428568</v>
      </c>
      <c r="W3" t="e">
        <f t="shared" ref="W3:W37" si="6">+L3/U3</f>
        <v>#DIV/0!</v>
      </c>
      <c r="X3" t="e">
        <f t="shared" ref="X3:X37" si="7">+IF(W3&lt;10,"A",IF(W3&lt;20,"B",IF(W3&lt;30,"C",IF(W3&lt;40,"D","E"))))</f>
        <v>#DIV/0!</v>
      </c>
      <c r="Y3">
        <v>0.2</v>
      </c>
      <c r="Z3" t="e">
        <f t="shared" ref="Z3:Z47" si="8">+Y3*(V3/U3)</f>
        <v>#DIV/0!</v>
      </c>
      <c r="AA3" s="25">
        <f t="shared" ref="AA3:AA58" si="9">ROUND(MAX(8/(I3*1.62),0.004),3)</f>
        <v>0.14499999999999999</v>
      </c>
      <c r="AD3" t="s">
        <v>425</v>
      </c>
    </row>
    <row r="4" spans="1:31" x14ac:dyDescent="0.25">
      <c r="A4">
        <v>3</v>
      </c>
      <c r="B4" t="s">
        <v>197</v>
      </c>
      <c r="E4">
        <f>+'Proposed Streams'!P7</f>
        <v>1850</v>
      </c>
      <c r="I4" s="12">
        <f>ROUND('Proposed Streams'!Q7,0)</f>
        <v>41</v>
      </c>
      <c r="J4" t="s">
        <v>184</v>
      </c>
      <c r="K4">
        <v>20</v>
      </c>
      <c r="L4">
        <v>55</v>
      </c>
      <c r="M4" s="21">
        <f t="shared" si="0"/>
        <v>318.40000000000009</v>
      </c>
      <c r="N4" s="21">
        <f t="shared" si="1"/>
        <v>320</v>
      </c>
      <c r="O4" s="21">
        <f t="shared" si="2"/>
        <v>4.5727595670250922</v>
      </c>
      <c r="P4" s="21">
        <f t="shared" si="3"/>
        <v>79.187049343414628</v>
      </c>
      <c r="Q4" s="21">
        <f t="shared" si="4"/>
        <v>79.187049343414628</v>
      </c>
      <c r="R4" s="12">
        <f t="shared" ref="R4:R14" si="10">+(R$15-R$2)/(A$15-A$2)*(A4-A$2)+R$2</f>
        <v>5.7692307692307692</v>
      </c>
      <c r="S4" s="12">
        <f t="shared" si="5"/>
        <v>5.8181818181818183</v>
      </c>
      <c r="W4" t="e">
        <f t="shared" si="6"/>
        <v>#DIV/0!</v>
      </c>
      <c r="X4" t="e">
        <f t="shared" si="7"/>
        <v>#DIV/0!</v>
      </c>
      <c r="Y4">
        <v>0.2</v>
      </c>
      <c r="Z4" t="e">
        <f t="shared" si="8"/>
        <v>#DIV/0!</v>
      </c>
      <c r="AA4" s="25">
        <f t="shared" si="9"/>
        <v>0.12</v>
      </c>
    </row>
    <row r="5" spans="1:31" x14ac:dyDescent="0.25">
      <c r="A5">
        <v>4</v>
      </c>
      <c r="B5" t="s">
        <v>198</v>
      </c>
      <c r="C5" s="19" t="s">
        <v>272</v>
      </c>
      <c r="D5" s="20" t="s">
        <v>284</v>
      </c>
      <c r="E5">
        <f>+'Proposed Streams'!P8</f>
        <v>1860</v>
      </c>
      <c r="F5">
        <v>1940</v>
      </c>
      <c r="H5">
        <v>1940</v>
      </c>
      <c r="I5" s="12">
        <f>ROUND('Proposed Streams'!Q8,0)</f>
        <v>48</v>
      </c>
      <c r="J5" t="s">
        <v>184</v>
      </c>
      <c r="K5">
        <v>20</v>
      </c>
      <c r="L5">
        <v>78</v>
      </c>
      <c r="M5" s="21">
        <f t="shared" si="0"/>
        <v>499.19999999999982</v>
      </c>
      <c r="N5" s="21">
        <f t="shared" si="1"/>
        <v>500</v>
      </c>
      <c r="O5" s="21">
        <f t="shared" si="2"/>
        <v>7.2101173218637991</v>
      </c>
      <c r="P5" s="21">
        <f t="shared" si="3"/>
        <v>86.566719188292666</v>
      </c>
      <c r="Q5" s="21">
        <f t="shared" si="4"/>
        <v>86.566719188292666</v>
      </c>
      <c r="R5" s="12">
        <f t="shared" si="10"/>
        <v>6.1538461538461542</v>
      </c>
      <c r="S5" s="12">
        <f t="shared" si="5"/>
        <v>6.4102564102564106</v>
      </c>
      <c r="U5">
        <v>8</v>
      </c>
      <c r="V5">
        <v>4</v>
      </c>
      <c r="W5">
        <f t="shared" si="6"/>
        <v>9.75</v>
      </c>
      <c r="X5" t="str">
        <f t="shared" si="7"/>
        <v>A</v>
      </c>
      <c r="Y5">
        <v>0.2</v>
      </c>
      <c r="Z5">
        <f t="shared" si="8"/>
        <v>0.1</v>
      </c>
      <c r="AA5" s="25">
        <f t="shared" si="9"/>
        <v>0.10299999999999999</v>
      </c>
      <c r="AC5" t="s">
        <v>432</v>
      </c>
      <c r="AD5" t="s">
        <v>427</v>
      </c>
      <c r="AE5" t="s">
        <v>283</v>
      </c>
    </row>
    <row r="6" spans="1:31" x14ac:dyDescent="0.25">
      <c r="A6">
        <v>5</v>
      </c>
      <c r="B6" t="s">
        <v>199</v>
      </c>
      <c r="E6">
        <f>+'Proposed Streams'!P9</f>
        <v>1870</v>
      </c>
      <c r="F6" s="12">
        <f t="shared" ref="F6:F37" si="11">+(E6-E$5)/(E$58-E$5)*(F$58-F$5)+F$5</f>
        <v>1943.5</v>
      </c>
      <c r="H6" s="12"/>
      <c r="I6" s="12">
        <f>ROUND('Proposed Streams'!Q9,0)</f>
        <v>57</v>
      </c>
      <c r="J6" t="s">
        <v>184</v>
      </c>
      <c r="K6">
        <v>20</v>
      </c>
      <c r="L6">
        <v>111</v>
      </c>
      <c r="M6" s="21">
        <f t="shared" si="0"/>
        <v>724.80000000000018</v>
      </c>
      <c r="N6" s="21">
        <f t="shared" si="1"/>
        <v>720</v>
      </c>
      <c r="O6" s="21">
        <f t="shared" si="2"/>
        <v>10.551855810343064</v>
      </c>
      <c r="P6" s="21">
        <f t="shared" si="3"/>
        <v>95.775578763902445</v>
      </c>
      <c r="Q6" s="21">
        <f t="shared" si="4"/>
        <v>95.775578763902445</v>
      </c>
      <c r="R6" s="12">
        <f t="shared" si="10"/>
        <v>6.5384615384615383</v>
      </c>
      <c r="S6" s="12">
        <f t="shared" si="5"/>
        <v>6.4864864864864868</v>
      </c>
      <c r="W6" t="e">
        <f t="shared" si="6"/>
        <v>#DIV/0!</v>
      </c>
      <c r="X6" t="e">
        <f t="shared" si="7"/>
        <v>#DIV/0!</v>
      </c>
      <c r="Y6">
        <v>0.2</v>
      </c>
      <c r="Z6" t="e">
        <f t="shared" si="8"/>
        <v>#DIV/0!</v>
      </c>
      <c r="AA6" s="25">
        <f t="shared" si="9"/>
        <v>8.6999999999999994E-2</v>
      </c>
    </row>
    <row r="7" spans="1:31" x14ac:dyDescent="0.25">
      <c r="A7">
        <v>6</v>
      </c>
      <c r="B7" t="s">
        <v>200</v>
      </c>
      <c r="C7" s="20" t="s">
        <v>272</v>
      </c>
      <c r="D7" t="s">
        <v>292</v>
      </c>
      <c r="E7">
        <f>+'Proposed Streams'!P10</f>
        <v>1880</v>
      </c>
      <c r="F7" s="12">
        <f t="shared" si="11"/>
        <v>1947</v>
      </c>
      <c r="H7" s="12"/>
      <c r="I7" s="12">
        <f>ROUND('Proposed Streams'!Q10,0)</f>
        <v>63</v>
      </c>
      <c r="J7" t="s">
        <v>184</v>
      </c>
      <c r="K7">
        <v>20</v>
      </c>
      <c r="L7">
        <v>128</v>
      </c>
      <c r="M7" s="21">
        <f t="shared" si="0"/>
        <v>885.19999999999982</v>
      </c>
      <c r="N7" s="21">
        <f t="shared" si="1"/>
        <v>890</v>
      </c>
      <c r="O7" s="21">
        <f t="shared" si="2"/>
        <v>12.7489626859191</v>
      </c>
      <c r="P7" s="21">
        <f t="shared" si="3"/>
        <v>101.74026387609756</v>
      </c>
      <c r="Q7" s="21">
        <f t="shared" si="4"/>
        <v>101.74026387609756</v>
      </c>
      <c r="R7" s="12">
        <f t="shared" si="10"/>
        <v>6.9230769230769234</v>
      </c>
      <c r="S7" s="12">
        <f t="shared" si="5"/>
        <v>6.953125</v>
      </c>
      <c r="U7">
        <v>8</v>
      </c>
      <c r="V7">
        <v>4</v>
      </c>
      <c r="W7">
        <f t="shared" si="6"/>
        <v>16</v>
      </c>
      <c r="X7" t="str">
        <f t="shared" si="7"/>
        <v>B</v>
      </c>
      <c r="Y7">
        <v>0.2</v>
      </c>
      <c r="Z7">
        <f t="shared" si="8"/>
        <v>0.1</v>
      </c>
      <c r="AA7" s="25">
        <f t="shared" si="9"/>
        <v>7.8E-2</v>
      </c>
    </row>
    <row r="8" spans="1:31" x14ac:dyDescent="0.25">
      <c r="A8">
        <v>7</v>
      </c>
      <c r="B8" t="s">
        <v>201</v>
      </c>
      <c r="C8" s="20" t="s">
        <v>285</v>
      </c>
      <c r="D8" s="19" t="s">
        <v>314</v>
      </c>
      <c r="E8">
        <f>+'Proposed Streams'!P11</f>
        <v>1890</v>
      </c>
      <c r="F8" s="12">
        <f t="shared" si="11"/>
        <v>1950.5</v>
      </c>
      <c r="H8" s="12">
        <v>1950</v>
      </c>
      <c r="I8" s="12">
        <f>ROUND('Proposed Streams'!Q11,0)</f>
        <v>69</v>
      </c>
      <c r="J8" t="s">
        <v>184</v>
      </c>
      <c r="K8">
        <v>20</v>
      </c>
      <c r="L8">
        <v>170</v>
      </c>
      <c r="M8" s="21">
        <f t="shared" si="0"/>
        <v>995.60000000000036</v>
      </c>
      <c r="N8" s="21">
        <f t="shared" si="1"/>
        <v>1000</v>
      </c>
      <c r="O8" s="21">
        <f t="shared" si="2"/>
        <v>14.921494534767024</v>
      </c>
      <c r="P8" s="21">
        <f t="shared" si="3"/>
        <v>107.56530530439025</v>
      </c>
      <c r="Q8" s="21">
        <f t="shared" si="4"/>
        <v>107.56530530439025</v>
      </c>
      <c r="R8" s="12">
        <f t="shared" si="10"/>
        <v>7.3076923076923084</v>
      </c>
      <c r="S8" s="12">
        <f t="shared" si="5"/>
        <v>5.882352941176471</v>
      </c>
      <c r="U8">
        <v>10</v>
      </c>
      <c r="V8">
        <v>6</v>
      </c>
      <c r="W8">
        <f t="shared" si="6"/>
        <v>17</v>
      </c>
      <c r="X8" t="str">
        <f t="shared" si="7"/>
        <v>B</v>
      </c>
      <c r="Y8">
        <v>0.25</v>
      </c>
      <c r="Z8">
        <f t="shared" si="8"/>
        <v>0.15</v>
      </c>
      <c r="AA8" s="25">
        <f t="shared" si="9"/>
        <v>7.1999999999999995E-2</v>
      </c>
      <c r="AC8" t="s">
        <v>409</v>
      </c>
      <c r="AD8" t="s">
        <v>318</v>
      </c>
      <c r="AE8" t="s">
        <v>286</v>
      </c>
    </row>
    <row r="9" spans="1:31" x14ac:dyDescent="0.25">
      <c r="A9">
        <v>8</v>
      </c>
      <c r="B9" t="s">
        <v>202</v>
      </c>
      <c r="C9" t="s">
        <v>273</v>
      </c>
      <c r="D9" s="19" t="s">
        <v>287</v>
      </c>
      <c r="E9">
        <f>+'Proposed Streams'!P12</f>
        <v>1900</v>
      </c>
      <c r="F9" s="12">
        <f t="shared" si="11"/>
        <v>1954</v>
      </c>
      <c r="H9" s="12"/>
      <c r="I9" s="12">
        <f>ROUND('Proposed Streams'!Q12,0)</f>
        <v>77</v>
      </c>
      <c r="J9" t="s">
        <v>184</v>
      </c>
      <c r="K9">
        <v>20</v>
      </c>
      <c r="L9">
        <v>164</v>
      </c>
      <c r="M9" s="21">
        <f t="shared" si="0"/>
        <v>1266.8000000000002</v>
      </c>
      <c r="N9" s="21">
        <f t="shared" si="1"/>
        <v>1270</v>
      </c>
      <c r="O9" s="21">
        <f t="shared" si="2"/>
        <v>17.779975847209421</v>
      </c>
      <c r="P9" s="21">
        <f t="shared" si="3"/>
        <v>115.11480370048781</v>
      </c>
      <c r="Q9" s="21">
        <f t="shared" si="4"/>
        <v>115.11480370048781</v>
      </c>
      <c r="R9" s="12">
        <f t="shared" si="10"/>
        <v>7.6923076923076925</v>
      </c>
      <c r="S9" s="12">
        <f t="shared" si="5"/>
        <v>7.7439024390243905</v>
      </c>
      <c r="U9">
        <v>10</v>
      </c>
      <c r="V9">
        <v>8</v>
      </c>
      <c r="W9">
        <f t="shared" si="6"/>
        <v>16.399999999999999</v>
      </c>
      <c r="X9" t="str">
        <f t="shared" si="7"/>
        <v>B</v>
      </c>
      <c r="Y9">
        <v>0.2</v>
      </c>
      <c r="Z9">
        <f t="shared" si="8"/>
        <v>0.16000000000000003</v>
      </c>
      <c r="AA9" s="25">
        <f t="shared" si="9"/>
        <v>6.4000000000000001E-2</v>
      </c>
      <c r="AD9" t="s">
        <v>322</v>
      </c>
    </row>
    <row r="10" spans="1:31" x14ac:dyDescent="0.25">
      <c r="A10">
        <v>9</v>
      </c>
      <c r="B10" t="s">
        <v>203</v>
      </c>
      <c r="E10">
        <f>+'Proposed Streams'!P13</f>
        <v>1910</v>
      </c>
      <c r="F10" s="12">
        <f t="shared" si="11"/>
        <v>1957.5</v>
      </c>
      <c r="H10" s="12"/>
      <c r="I10" s="12">
        <f>ROUND('Proposed Streams'!Q13,0)</f>
        <v>89</v>
      </c>
      <c r="J10" t="s">
        <v>184</v>
      </c>
      <c r="K10">
        <v>20</v>
      </c>
      <c r="L10">
        <v>197</v>
      </c>
      <c r="M10" s="21">
        <f t="shared" si="0"/>
        <v>1589.6000000000004</v>
      </c>
      <c r="N10" s="21">
        <f t="shared" si="1"/>
        <v>1590</v>
      </c>
      <c r="O10" s="21">
        <f t="shared" si="2"/>
        <v>21.98578106011265</v>
      </c>
      <c r="P10" s="21">
        <f t="shared" si="3"/>
        <v>125.97357234829266</v>
      </c>
      <c r="Q10" s="21">
        <f t="shared" si="4"/>
        <v>125.97357234829266</v>
      </c>
      <c r="R10" s="12">
        <f t="shared" si="10"/>
        <v>8.0769230769230766</v>
      </c>
      <c r="S10" s="12">
        <f t="shared" si="5"/>
        <v>8.0710659898477157</v>
      </c>
      <c r="W10" t="e">
        <f t="shared" si="6"/>
        <v>#DIV/0!</v>
      </c>
      <c r="X10" t="e">
        <f t="shared" si="7"/>
        <v>#DIV/0!</v>
      </c>
      <c r="Y10">
        <v>0.2</v>
      </c>
      <c r="Z10" t="e">
        <f t="shared" si="8"/>
        <v>#DIV/0!</v>
      </c>
      <c r="AA10" s="25">
        <f t="shared" si="9"/>
        <v>5.5E-2</v>
      </c>
    </row>
    <row r="11" spans="1:31" x14ac:dyDescent="0.25">
      <c r="A11">
        <v>10</v>
      </c>
      <c r="B11" t="s">
        <v>204</v>
      </c>
      <c r="C11" t="s">
        <v>273</v>
      </c>
      <c r="D11" s="20" t="s">
        <v>324</v>
      </c>
      <c r="E11">
        <f>+'Proposed Streams'!P14</f>
        <v>1920</v>
      </c>
      <c r="F11" s="12">
        <f t="shared" si="11"/>
        <v>1961</v>
      </c>
      <c r="H11" s="12">
        <v>1961</v>
      </c>
      <c r="I11" s="12">
        <f>ROUND('Proposed Streams'!Q14,0)</f>
        <v>103</v>
      </c>
      <c r="J11" t="s">
        <v>184</v>
      </c>
      <c r="K11">
        <v>20</v>
      </c>
      <c r="L11">
        <v>232</v>
      </c>
      <c r="M11" s="21">
        <f t="shared" si="0"/>
        <v>1973.2000000000007</v>
      </c>
      <c r="N11" s="21">
        <f t="shared" si="1"/>
        <v>1970</v>
      </c>
      <c r="O11" s="21">
        <f t="shared" si="2"/>
        <v>26.768313395596522</v>
      </c>
      <c r="P11" s="21">
        <f t="shared" si="3"/>
        <v>137.93615936878049</v>
      </c>
      <c r="Q11" s="21">
        <f t="shared" si="4"/>
        <v>137.93615936878049</v>
      </c>
      <c r="R11" s="12">
        <f t="shared" si="10"/>
        <v>8.4615384615384617</v>
      </c>
      <c r="S11" s="12">
        <f t="shared" si="5"/>
        <v>8.4913793103448274</v>
      </c>
      <c r="U11">
        <v>12</v>
      </c>
      <c r="V11">
        <v>6</v>
      </c>
      <c r="W11">
        <f t="shared" si="6"/>
        <v>19.333333333333332</v>
      </c>
      <c r="X11" t="str">
        <f t="shared" si="7"/>
        <v>B</v>
      </c>
      <c r="Y11">
        <v>0.2</v>
      </c>
      <c r="Z11" s="24">
        <f t="shared" si="8"/>
        <v>0.1</v>
      </c>
      <c r="AA11" s="25">
        <f t="shared" si="9"/>
        <v>4.8000000000000001E-2</v>
      </c>
      <c r="AC11" t="s">
        <v>409</v>
      </c>
      <c r="AD11" t="s">
        <v>323</v>
      </c>
    </row>
    <row r="12" spans="1:31" x14ac:dyDescent="0.25">
      <c r="A12">
        <v>11</v>
      </c>
      <c r="B12" t="s">
        <v>205</v>
      </c>
      <c r="E12">
        <f>+'Proposed Streams'!P15</f>
        <v>1930</v>
      </c>
      <c r="F12" s="12">
        <f t="shared" si="11"/>
        <v>1964.5</v>
      </c>
      <c r="H12" s="12"/>
      <c r="I12" s="12">
        <f>ROUND('Proposed Streams'!Q15,0)</f>
        <v>112</v>
      </c>
      <c r="J12" t="s">
        <v>184</v>
      </c>
      <c r="K12">
        <v>20</v>
      </c>
      <c r="L12">
        <v>252</v>
      </c>
      <c r="M12" s="21">
        <f t="shared" si="0"/>
        <v>2224.7999999999993</v>
      </c>
      <c r="N12" s="21">
        <f t="shared" si="1"/>
        <v>2220</v>
      </c>
      <c r="O12" s="21">
        <f t="shared" si="2"/>
        <v>29.772145266564266</v>
      </c>
      <c r="P12" s="21">
        <f t="shared" si="3"/>
        <v>145.22491829073172</v>
      </c>
      <c r="Q12" s="21">
        <f t="shared" si="4"/>
        <v>145.22491829073172</v>
      </c>
      <c r="R12" s="12">
        <f t="shared" si="10"/>
        <v>8.8461538461538467</v>
      </c>
      <c r="S12" s="12">
        <f t="shared" si="5"/>
        <v>8.8095238095238102</v>
      </c>
      <c r="W12" t="e">
        <f t="shared" si="6"/>
        <v>#DIV/0!</v>
      </c>
      <c r="X12" t="e">
        <f t="shared" si="7"/>
        <v>#DIV/0!</v>
      </c>
      <c r="Y12">
        <v>0.2</v>
      </c>
      <c r="Z12" t="e">
        <f t="shared" si="8"/>
        <v>#DIV/0!</v>
      </c>
      <c r="AA12" s="25">
        <f t="shared" si="9"/>
        <v>4.3999999999999997E-2</v>
      </c>
    </row>
    <row r="13" spans="1:31" x14ac:dyDescent="0.25">
      <c r="A13">
        <v>12</v>
      </c>
      <c r="B13" t="s">
        <v>206</v>
      </c>
      <c r="E13">
        <f>+'Proposed Streams'!P16</f>
        <v>1940</v>
      </c>
      <c r="F13" s="12">
        <f t="shared" si="11"/>
        <v>1968</v>
      </c>
      <c r="H13" s="12"/>
      <c r="I13" s="12">
        <f>ROUND('Proposed Streams'!Q16,0)</f>
        <v>114</v>
      </c>
      <c r="J13" t="s">
        <v>184</v>
      </c>
      <c r="K13">
        <v>20</v>
      </c>
      <c r="L13">
        <v>247</v>
      </c>
      <c r="M13" s="21">
        <f t="shared" si="0"/>
        <v>2299.6000000000004</v>
      </c>
      <c r="N13" s="21">
        <f t="shared" si="1"/>
        <v>2300</v>
      </c>
      <c r="O13" s="21">
        <f t="shared" si="2"/>
        <v>30.432154424167951</v>
      </c>
      <c r="P13" s="21">
        <f t="shared" si="3"/>
        <v>146.80197359219511</v>
      </c>
      <c r="Q13" s="21">
        <f t="shared" si="4"/>
        <v>146.80197359219511</v>
      </c>
      <c r="R13" s="12">
        <f t="shared" si="10"/>
        <v>9.2307692307692299</v>
      </c>
      <c r="S13" s="12">
        <f t="shared" si="5"/>
        <v>9.3117408906882595</v>
      </c>
      <c r="W13" t="e">
        <f t="shared" si="6"/>
        <v>#DIV/0!</v>
      </c>
      <c r="X13" t="e">
        <f t="shared" si="7"/>
        <v>#DIV/0!</v>
      </c>
      <c r="Y13">
        <v>0.2</v>
      </c>
      <c r="Z13" t="e">
        <f t="shared" si="8"/>
        <v>#DIV/0!</v>
      </c>
      <c r="AA13" s="25">
        <f t="shared" si="9"/>
        <v>4.2999999999999997E-2</v>
      </c>
      <c r="AD13" t="s">
        <v>426</v>
      </c>
    </row>
    <row r="14" spans="1:31" x14ac:dyDescent="0.25">
      <c r="A14">
        <v>13</v>
      </c>
      <c r="B14" t="s">
        <v>207</v>
      </c>
      <c r="C14" t="s">
        <v>270</v>
      </c>
      <c r="D14" t="s">
        <v>384</v>
      </c>
      <c r="E14">
        <f>+'Proposed Streams'!P17</f>
        <v>1950</v>
      </c>
      <c r="F14" s="12">
        <f t="shared" si="11"/>
        <v>1971.5</v>
      </c>
      <c r="H14" s="12">
        <v>1971</v>
      </c>
      <c r="I14" s="12">
        <f>ROUND('Proposed Streams'!Q17,0)</f>
        <v>116</v>
      </c>
      <c r="J14" t="s">
        <v>184</v>
      </c>
      <c r="K14">
        <v>25</v>
      </c>
      <c r="L14">
        <v>248</v>
      </c>
      <c r="M14" s="21">
        <f t="shared" si="0"/>
        <v>2362.3999999999996</v>
      </c>
      <c r="N14" s="21">
        <f t="shared" si="1"/>
        <v>2360</v>
      </c>
      <c r="O14" s="21">
        <f t="shared" si="2"/>
        <v>31.08943302324629</v>
      </c>
      <c r="P14" s="21">
        <f t="shared" si="3"/>
        <v>177.22326902634148</v>
      </c>
      <c r="Q14" s="21">
        <f t="shared" si="4"/>
        <v>177.22326902634148</v>
      </c>
      <c r="R14" s="12">
        <f t="shared" si="10"/>
        <v>9.6153846153846168</v>
      </c>
      <c r="S14" s="12">
        <f t="shared" si="5"/>
        <v>9.5161290322580641</v>
      </c>
      <c r="U14">
        <v>12</v>
      </c>
      <c r="V14">
        <v>6</v>
      </c>
      <c r="W14">
        <f t="shared" si="6"/>
        <v>20.666666666666668</v>
      </c>
      <c r="X14" t="str">
        <f t="shared" si="7"/>
        <v>C</v>
      </c>
      <c r="Y14">
        <v>0.2</v>
      </c>
      <c r="Z14">
        <f t="shared" si="8"/>
        <v>0.1</v>
      </c>
      <c r="AA14" s="25">
        <f t="shared" si="9"/>
        <v>4.2999999999999997E-2</v>
      </c>
      <c r="AC14" t="s">
        <v>409</v>
      </c>
      <c r="AD14" t="s">
        <v>317</v>
      </c>
    </row>
    <row r="15" spans="1:31" x14ac:dyDescent="0.25">
      <c r="A15">
        <v>14</v>
      </c>
      <c r="B15" t="s">
        <v>208</v>
      </c>
      <c r="E15">
        <f>+'Proposed Streams'!P18</f>
        <v>1960</v>
      </c>
      <c r="F15" s="12">
        <f t="shared" si="11"/>
        <v>1975</v>
      </c>
      <c r="H15" s="12"/>
      <c r="I15" s="12">
        <f>ROUND('Proposed Streams'!Q18,0)</f>
        <v>118</v>
      </c>
      <c r="J15" t="s">
        <v>184</v>
      </c>
      <c r="K15">
        <v>30</v>
      </c>
      <c r="L15">
        <v>243</v>
      </c>
      <c r="M15" s="21">
        <f t="shared" si="0"/>
        <v>2437.2000000000007</v>
      </c>
      <c r="N15" s="21">
        <f t="shared" si="1"/>
        <v>2440</v>
      </c>
      <c r="O15" s="21">
        <f t="shared" si="2"/>
        <v>31.743981063799282</v>
      </c>
      <c r="P15" s="21">
        <f t="shared" si="3"/>
        <v>207.62904849560977</v>
      </c>
      <c r="Q15" s="21">
        <f t="shared" si="4"/>
        <v>207.62904849560977</v>
      </c>
      <c r="R15" s="21">
        <v>10</v>
      </c>
      <c r="S15" s="12">
        <f t="shared" si="5"/>
        <v>10.041152263374485</v>
      </c>
      <c r="W15" t="e">
        <f t="shared" si="6"/>
        <v>#DIV/0!</v>
      </c>
      <c r="X15" t="e">
        <f t="shared" si="7"/>
        <v>#DIV/0!</v>
      </c>
      <c r="Y15">
        <v>0.2</v>
      </c>
      <c r="Z15" t="e">
        <f t="shared" si="8"/>
        <v>#DIV/0!</v>
      </c>
      <c r="AA15" s="25">
        <f t="shared" si="9"/>
        <v>4.2000000000000003E-2</v>
      </c>
    </row>
    <row r="16" spans="1:31" x14ac:dyDescent="0.25">
      <c r="A16">
        <v>15</v>
      </c>
      <c r="B16" t="s">
        <v>210</v>
      </c>
      <c r="E16">
        <f>+'Proposed Streams'!P15</f>
        <v>1930</v>
      </c>
      <c r="F16" s="12">
        <f t="shared" si="11"/>
        <v>1964.5</v>
      </c>
      <c r="H16" s="12"/>
      <c r="I16" s="12">
        <f>ROUND('Proposed Streams'!R15,)</f>
        <v>70</v>
      </c>
      <c r="J16" t="s">
        <v>185</v>
      </c>
      <c r="K16">
        <v>15</v>
      </c>
      <c r="L16">
        <v>30</v>
      </c>
      <c r="M16" s="21">
        <f>-900+26*L16+20*I16*1.62-I16*1.62*K16*IF(J16="Diesel",1,0)-28*L16*IF(J16="Steam",1,0)</f>
        <v>447</v>
      </c>
      <c r="N16" s="21">
        <f t="shared" ref="N16:N48" si="12">+ROUND(M16,-1)</f>
        <v>450</v>
      </c>
      <c r="O16" s="21">
        <f t="shared" si="2"/>
        <v>13.920210834613417</v>
      </c>
      <c r="P16" s="21">
        <f>( -1366 + 94.66 * K16 + 12.42 * (I16*1.62) - 0.01212 * (I16*1.62) ^ 2)/15.23</f>
        <v>85.782674510833871</v>
      </c>
      <c r="Q16" s="21">
        <f t="shared" si="4"/>
        <v>85.782674510833871</v>
      </c>
      <c r="R16" s="21">
        <v>15</v>
      </c>
      <c r="S16" s="12">
        <f>+N16/L16</f>
        <v>15</v>
      </c>
      <c r="W16" t="e">
        <f t="shared" si="6"/>
        <v>#DIV/0!</v>
      </c>
      <c r="X16" t="e">
        <f t="shared" si="7"/>
        <v>#DIV/0!</v>
      </c>
      <c r="Y16">
        <v>0.3</v>
      </c>
      <c r="Z16" t="e">
        <f t="shared" si="8"/>
        <v>#DIV/0!</v>
      </c>
      <c r="AA16" s="25">
        <f t="shared" si="9"/>
        <v>7.0999999999999994E-2</v>
      </c>
    </row>
    <row r="17" spans="1:30" x14ac:dyDescent="0.25">
      <c r="A17">
        <v>16</v>
      </c>
      <c r="B17" t="s">
        <v>211</v>
      </c>
      <c r="E17">
        <f>+'Proposed Streams'!P16</f>
        <v>1940</v>
      </c>
      <c r="F17" s="12">
        <f t="shared" si="11"/>
        <v>1968</v>
      </c>
      <c r="H17" s="12"/>
      <c r="I17" s="12">
        <f>ROUND('Proposed Streams'!R16,)</f>
        <v>90</v>
      </c>
      <c r="J17" t="s">
        <v>185</v>
      </c>
      <c r="K17">
        <v>18</v>
      </c>
      <c r="L17">
        <v>63</v>
      </c>
      <c r="M17" s="21">
        <f t="shared" si="0"/>
        <v>1029.5999999999999</v>
      </c>
      <c r="N17" s="21">
        <f t="shared" si="12"/>
        <v>1030</v>
      </c>
      <c r="O17" s="21">
        <f t="shared" si="2"/>
        <v>19.216688568015023</v>
      </c>
      <c r="P17" s="21">
        <f t="shared" ref="P17:P23" si="13">( -1366 + 94.66 * K17 + 12.42 * (I17*1.62) - 0.01212 * (I17*1.62) ^ 2)/15.23</f>
        <v>124.16765615233093</v>
      </c>
      <c r="Q17" s="21">
        <f t="shared" si="4"/>
        <v>124.16765615233093</v>
      </c>
      <c r="R17" s="12">
        <f>+(R$24-R$16)/(A$24-A$16)*(A17-A$16)+R$16</f>
        <v>16.875</v>
      </c>
      <c r="S17" s="12">
        <f t="shared" si="5"/>
        <v>16.349206349206348</v>
      </c>
      <c r="W17" t="e">
        <f t="shared" si="6"/>
        <v>#DIV/0!</v>
      </c>
      <c r="X17" t="e">
        <f t="shared" si="7"/>
        <v>#DIV/0!</v>
      </c>
      <c r="Y17">
        <v>0.3</v>
      </c>
      <c r="Z17" t="e">
        <f t="shared" si="8"/>
        <v>#DIV/0!</v>
      </c>
      <c r="AA17" s="25">
        <f t="shared" si="9"/>
        <v>5.5E-2</v>
      </c>
    </row>
    <row r="18" spans="1:30" x14ac:dyDescent="0.25">
      <c r="A18">
        <v>17</v>
      </c>
      <c r="B18" t="s">
        <v>212</v>
      </c>
      <c r="C18" t="s">
        <v>267</v>
      </c>
      <c r="D18" t="s">
        <v>268</v>
      </c>
      <c r="E18">
        <f>+'Proposed Streams'!P17</f>
        <v>1950</v>
      </c>
      <c r="F18" s="12">
        <f t="shared" si="11"/>
        <v>1971.5</v>
      </c>
      <c r="H18" s="12">
        <v>1970</v>
      </c>
      <c r="I18" s="12">
        <f>ROUND('Proposed Streams'!R17,)</f>
        <v>110</v>
      </c>
      <c r="J18" t="s">
        <v>185</v>
      </c>
      <c r="K18">
        <v>19</v>
      </c>
      <c r="L18">
        <v>87</v>
      </c>
      <c r="M18" s="21">
        <f t="shared" si="0"/>
        <v>1540.1999999999998</v>
      </c>
      <c r="N18" s="21">
        <f t="shared" si="12"/>
        <v>1540</v>
      </c>
      <c r="O18" s="21">
        <f t="shared" si="2"/>
        <v>24.451818931558289</v>
      </c>
      <c r="P18" s="21">
        <f t="shared" si="13"/>
        <v>148.45111564018387</v>
      </c>
      <c r="Q18" s="21">
        <f t="shared" si="4"/>
        <v>148.45111564018387</v>
      </c>
      <c r="R18" s="12">
        <f t="shared" ref="R18:R23" si="14">+(R$24-R$16)/(A$24-A$16)*(A18-A$16)+R$16</f>
        <v>18.75</v>
      </c>
      <c r="S18" s="12">
        <f t="shared" si="5"/>
        <v>17.701149425287355</v>
      </c>
      <c r="U18">
        <v>4</v>
      </c>
      <c r="V18">
        <v>4</v>
      </c>
      <c r="W18">
        <f t="shared" si="6"/>
        <v>21.75</v>
      </c>
      <c r="X18" t="str">
        <f t="shared" si="7"/>
        <v>C</v>
      </c>
      <c r="Y18">
        <v>0.3</v>
      </c>
      <c r="Z18">
        <f t="shared" si="8"/>
        <v>0.3</v>
      </c>
      <c r="AA18" s="25">
        <f t="shared" si="9"/>
        <v>4.4999999999999998E-2</v>
      </c>
      <c r="AC18" t="s">
        <v>409</v>
      </c>
      <c r="AD18" t="s">
        <v>327</v>
      </c>
    </row>
    <row r="19" spans="1:30" x14ac:dyDescent="0.25">
      <c r="A19">
        <v>18</v>
      </c>
      <c r="B19" t="s">
        <v>213</v>
      </c>
      <c r="E19">
        <f>+'Proposed Streams'!P18</f>
        <v>1960</v>
      </c>
      <c r="F19" s="12">
        <f t="shared" si="11"/>
        <v>1975</v>
      </c>
      <c r="H19" s="12"/>
      <c r="I19" s="12">
        <f>ROUND('Proposed Streams'!R18,)</f>
        <v>127</v>
      </c>
      <c r="J19" t="s">
        <v>185</v>
      </c>
      <c r="K19">
        <v>19</v>
      </c>
      <c r="L19">
        <v>107</v>
      </c>
      <c r="M19" s="21">
        <f t="shared" si="0"/>
        <v>2087.7399999999998</v>
      </c>
      <c r="N19" s="21">
        <f t="shared" si="12"/>
        <v>2090</v>
      </c>
      <c r="O19" s="21">
        <f t="shared" si="2"/>
        <v>28.334646173203627</v>
      </c>
      <c r="P19" s="21">
        <f t="shared" si="13"/>
        <v>162.49533519947474</v>
      </c>
      <c r="Q19" s="21">
        <f t="shared" si="4"/>
        <v>162.49533519947474</v>
      </c>
      <c r="R19" s="12">
        <f t="shared" si="14"/>
        <v>20.625</v>
      </c>
      <c r="S19" s="12">
        <f t="shared" si="5"/>
        <v>19.532710280373831</v>
      </c>
      <c r="W19" t="e">
        <f t="shared" si="6"/>
        <v>#DIV/0!</v>
      </c>
      <c r="X19" t="e">
        <f t="shared" si="7"/>
        <v>#DIV/0!</v>
      </c>
      <c r="Y19">
        <v>0.3</v>
      </c>
      <c r="Z19" t="e">
        <f t="shared" si="8"/>
        <v>#DIV/0!</v>
      </c>
      <c r="AA19" s="25">
        <f t="shared" si="9"/>
        <v>3.9E-2</v>
      </c>
    </row>
    <row r="20" spans="1:30" x14ac:dyDescent="0.25">
      <c r="A20">
        <v>19</v>
      </c>
      <c r="B20" t="s">
        <v>214</v>
      </c>
      <c r="C20" t="s">
        <v>267</v>
      </c>
      <c r="D20" t="s">
        <v>269</v>
      </c>
      <c r="E20">
        <f>+'Proposed Streams'!P19</f>
        <v>1970</v>
      </c>
      <c r="F20" s="12">
        <f t="shared" si="11"/>
        <v>1978.5</v>
      </c>
      <c r="H20" s="12">
        <v>1979</v>
      </c>
      <c r="I20" s="12">
        <f>ROUND('Proposed Streams'!R19,)</f>
        <v>136</v>
      </c>
      <c r="J20" t="s">
        <v>185</v>
      </c>
      <c r="K20">
        <v>18</v>
      </c>
      <c r="L20">
        <v>135</v>
      </c>
      <c r="M20" s="21">
        <f t="shared" si="0"/>
        <v>3050.6400000000003</v>
      </c>
      <c r="N20" s="21">
        <f t="shared" si="12"/>
        <v>3050</v>
      </c>
      <c r="O20" s="21">
        <f t="shared" si="2"/>
        <v>28.287597264243054</v>
      </c>
      <c r="P20" s="21">
        <f t="shared" si="13"/>
        <v>163.22643879921208</v>
      </c>
      <c r="Q20" s="21">
        <f t="shared" si="4"/>
        <v>163.22643879921208</v>
      </c>
      <c r="R20" s="12">
        <f t="shared" si="14"/>
        <v>22.5</v>
      </c>
      <c r="S20" s="12">
        <f t="shared" si="5"/>
        <v>22.592592592592592</v>
      </c>
      <c r="U20">
        <v>4</v>
      </c>
      <c r="V20">
        <v>4</v>
      </c>
      <c r="W20">
        <f t="shared" si="6"/>
        <v>33.75</v>
      </c>
      <c r="X20" t="str">
        <f t="shared" si="7"/>
        <v>D</v>
      </c>
      <c r="Y20">
        <v>0.3</v>
      </c>
      <c r="Z20">
        <f t="shared" si="8"/>
        <v>0.3</v>
      </c>
      <c r="AA20" s="25">
        <f t="shared" si="9"/>
        <v>3.5999999999999997E-2</v>
      </c>
      <c r="AC20" t="s">
        <v>409</v>
      </c>
      <c r="AD20" t="s">
        <v>326</v>
      </c>
    </row>
    <row r="21" spans="1:30" x14ac:dyDescent="0.25">
      <c r="A21">
        <v>20</v>
      </c>
      <c r="B21" t="s">
        <v>215</v>
      </c>
      <c r="E21">
        <f>+'Proposed Streams'!P20</f>
        <v>1980</v>
      </c>
      <c r="F21" s="12">
        <f t="shared" si="11"/>
        <v>1982</v>
      </c>
      <c r="H21" s="12"/>
      <c r="I21" s="12">
        <f>ROUND('Proposed Streams'!R20,)</f>
        <v>144</v>
      </c>
      <c r="J21" t="s">
        <v>185</v>
      </c>
      <c r="K21">
        <v>17</v>
      </c>
      <c r="L21">
        <v>160</v>
      </c>
      <c r="M21" s="21">
        <f t="shared" si="0"/>
        <v>3959.8399999999997</v>
      </c>
      <c r="N21" s="21">
        <f t="shared" si="12"/>
        <v>3960</v>
      </c>
      <c r="O21" s="21">
        <f t="shared" si="2"/>
        <v>28.027973459498213</v>
      </c>
      <c r="P21" s="21">
        <f t="shared" si="13"/>
        <v>162.90167775390677</v>
      </c>
      <c r="Q21" s="21">
        <f t="shared" si="4"/>
        <v>162.90167775390677</v>
      </c>
      <c r="R21" s="12">
        <f t="shared" si="14"/>
        <v>24.375</v>
      </c>
      <c r="S21" s="12">
        <f t="shared" si="5"/>
        <v>24.75</v>
      </c>
      <c r="W21" t="e">
        <f t="shared" si="6"/>
        <v>#DIV/0!</v>
      </c>
      <c r="X21" t="e">
        <f t="shared" si="7"/>
        <v>#DIV/0!</v>
      </c>
      <c r="Y21">
        <v>0.3</v>
      </c>
      <c r="Z21" t="e">
        <f t="shared" si="8"/>
        <v>#DIV/0!</v>
      </c>
      <c r="AA21" s="25">
        <f t="shared" si="9"/>
        <v>3.4000000000000002E-2</v>
      </c>
    </row>
    <row r="22" spans="1:30" x14ac:dyDescent="0.25">
      <c r="A22">
        <v>21</v>
      </c>
      <c r="B22" t="s">
        <v>216</v>
      </c>
      <c r="E22">
        <f>+'Proposed Streams'!P21</f>
        <v>1990</v>
      </c>
      <c r="F22" s="12">
        <f t="shared" si="11"/>
        <v>1985.5</v>
      </c>
      <c r="H22" s="12"/>
      <c r="I22" s="12">
        <f>ROUND('Proposed Streams'!R21,)</f>
        <v>148</v>
      </c>
      <c r="J22" t="s">
        <v>185</v>
      </c>
      <c r="K22">
        <v>16</v>
      </c>
      <c r="L22">
        <v>210</v>
      </c>
      <c r="M22" s="21">
        <f t="shared" si="0"/>
        <v>5519.0400000000009</v>
      </c>
      <c r="N22" s="21">
        <f t="shared" si="12"/>
        <v>5520</v>
      </c>
      <c r="O22" s="21">
        <f t="shared" si="2"/>
        <v>24.539808586584748</v>
      </c>
      <c r="P22" s="21">
        <f t="shared" si="13"/>
        <v>159.53136742534474</v>
      </c>
      <c r="Q22" s="21">
        <f t="shared" si="4"/>
        <v>159.53136742534474</v>
      </c>
      <c r="R22" s="12">
        <f t="shared" si="14"/>
        <v>26.25</v>
      </c>
      <c r="S22" s="12">
        <f t="shared" si="5"/>
        <v>26.285714285714285</v>
      </c>
      <c r="W22" t="e">
        <f t="shared" si="6"/>
        <v>#DIV/0!</v>
      </c>
      <c r="X22" t="e">
        <f t="shared" si="7"/>
        <v>#DIV/0!</v>
      </c>
      <c r="Y22">
        <v>0.3</v>
      </c>
      <c r="Z22" t="e">
        <f t="shared" si="8"/>
        <v>#DIV/0!</v>
      </c>
      <c r="AA22" s="25">
        <f t="shared" si="9"/>
        <v>3.3000000000000002E-2</v>
      </c>
    </row>
    <row r="23" spans="1:30" x14ac:dyDescent="0.25">
      <c r="A23">
        <v>22</v>
      </c>
      <c r="B23" t="s">
        <v>217</v>
      </c>
      <c r="C23" t="s">
        <v>273</v>
      </c>
      <c r="D23" t="s">
        <v>294</v>
      </c>
      <c r="E23">
        <f>+'Proposed Streams'!P22</f>
        <v>2000</v>
      </c>
      <c r="F23" s="12">
        <f t="shared" si="11"/>
        <v>1989</v>
      </c>
      <c r="H23" s="12">
        <v>1989</v>
      </c>
      <c r="I23" s="12">
        <f>ROUND('Proposed Streams'!R22,)</f>
        <v>151</v>
      </c>
      <c r="J23" t="s">
        <v>185</v>
      </c>
      <c r="K23">
        <v>14</v>
      </c>
      <c r="L23">
        <v>200</v>
      </c>
      <c r="M23" s="21">
        <f t="shared" si="0"/>
        <v>5767.7200000000012</v>
      </c>
      <c r="N23" s="21">
        <f t="shared" si="12"/>
        <v>5770</v>
      </c>
      <c r="O23" s="21">
        <f t="shared" si="2"/>
        <v>24.698971559515282</v>
      </c>
      <c r="P23" s="21">
        <f t="shared" si="13"/>
        <v>149.19057083860798</v>
      </c>
      <c r="Q23" s="21">
        <f t="shared" si="4"/>
        <v>149.19057083860798</v>
      </c>
      <c r="R23" s="12">
        <f t="shared" si="14"/>
        <v>28.125</v>
      </c>
      <c r="S23" s="12">
        <f t="shared" si="5"/>
        <v>28.85</v>
      </c>
      <c r="U23">
        <v>6</v>
      </c>
      <c r="V23">
        <v>6</v>
      </c>
      <c r="W23">
        <f t="shared" si="6"/>
        <v>33.333333333333336</v>
      </c>
      <c r="X23" t="str">
        <f t="shared" si="7"/>
        <v>D</v>
      </c>
      <c r="Y23">
        <v>0.3</v>
      </c>
      <c r="Z23">
        <f t="shared" si="8"/>
        <v>0.3</v>
      </c>
      <c r="AA23" s="25">
        <f t="shared" si="9"/>
        <v>3.3000000000000002E-2</v>
      </c>
      <c r="AC23" t="s">
        <v>409</v>
      </c>
      <c r="AD23" t="s">
        <v>325</v>
      </c>
    </row>
    <row r="24" spans="1:30" x14ac:dyDescent="0.25">
      <c r="A24">
        <v>23</v>
      </c>
      <c r="B24" t="s">
        <v>218</v>
      </c>
      <c r="C24" t="s">
        <v>291</v>
      </c>
      <c r="D24" t="s">
        <v>313</v>
      </c>
      <c r="E24">
        <f>+'Proposed Streams'!P23</f>
        <v>2010</v>
      </c>
      <c r="F24" s="12">
        <f t="shared" si="11"/>
        <v>1992.5</v>
      </c>
      <c r="H24" s="12"/>
      <c r="I24" s="12">
        <f>ROUND('Proposed Streams'!R23,)</f>
        <v>152</v>
      </c>
      <c r="J24" t="s">
        <v>185</v>
      </c>
      <c r="K24">
        <v>13</v>
      </c>
      <c r="L24">
        <v>197</v>
      </c>
      <c r="M24" s="21">
        <f t="shared" si="0"/>
        <v>5945.6799999999994</v>
      </c>
      <c r="N24" s="21">
        <f t="shared" si="12"/>
        <v>5950</v>
      </c>
      <c r="O24" s="21">
        <f t="shared" si="2"/>
        <v>24.458301271343238</v>
      </c>
      <c r="P24" s="21">
        <f>( -1366 + 94.66 * K24 + 12.42 * (I24*1.62) - 0.01212 * (I24*1.62) ^ 2)/15.23</f>
        <v>143.6634965389363</v>
      </c>
      <c r="Q24" s="21">
        <f t="shared" si="4"/>
        <v>143.6634965389363</v>
      </c>
      <c r="R24" s="21">
        <v>30</v>
      </c>
      <c r="S24" s="12">
        <f t="shared" si="5"/>
        <v>30.203045685279189</v>
      </c>
      <c r="W24" t="e">
        <f t="shared" si="6"/>
        <v>#DIV/0!</v>
      </c>
      <c r="X24" t="e">
        <f t="shared" si="7"/>
        <v>#DIV/0!</v>
      </c>
      <c r="Y24">
        <v>0.3</v>
      </c>
      <c r="Z24" t="e">
        <f t="shared" si="8"/>
        <v>#DIV/0!</v>
      </c>
      <c r="AA24" s="25">
        <f t="shared" si="9"/>
        <v>3.2000000000000001E-2</v>
      </c>
    </row>
    <row r="25" spans="1:30" x14ac:dyDescent="0.25">
      <c r="A25">
        <v>24</v>
      </c>
      <c r="B25" t="s">
        <v>219</v>
      </c>
      <c r="C25" t="s">
        <v>274</v>
      </c>
      <c r="D25" t="s">
        <v>293</v>
      </c>
      <c r="E25">
        <f>+'Proposed Streams'!P15</f>
        <v>1930</v>
      </c>
      <c r="F25" s="12">
        <f t="shared" si="11"/>
        <v>1964.5</v>
      </c>
      <c r="H25" s="12">
        <v>1964</v>
      </c>
      <c r="I25" s="12">
        <f>ROUND('Proposed Streams'!S15,0)</f>
        <v>65</v>
      </c>
      <c r="J25" t="s">
        <v>186</v>
      </c>
      <c r="K25">
        <v>12</v>
      </c>
      <c r="L25">
        <v>86</v>
      </c>
      <c r="M25" s="21">
        <f t="shared" si="0"/>
        <v>3442</v>
      </c>
      <c r="N25" s="21">
        <f t="shared" si="12"/>
        <v>3440</v>
      </c>
      <c r="O25" s="21">
        <f t="shared" si="2"/>
        <v>13.475870527393754</v>
      </c>
      <c r="P25" s="21">
        <f>( -1366 + 94.66 * K25 + 12.42 * (I25*1.62) - 0.01212 * (I25*1.62) ^ 2)/14</f>
        <v>67.382739228571424</v>
      </c>
      <c r="Q25" s="21">
        <f>+P25/2</f>
        <v>33.691369614285712</v>
      </c>
      <c r="R25" s="21">
        <v>40</v>
      </c>
      <c r="S25" s="12">
        <f t="shared" si="5"/>
        <v>40</v>
      </c>
      <c r="U25">
        <v>4</v>
      </c>
      <c r="V25">
        <v>4</v>
      </c>
      <c r="W25">
        <f t="shared" si="6"/>
        <v>21.5</v>
      </c>
      <c r="X25" t="str">
        <f t="shared" si="7"/>
        <v>C</v>
      </c>
      <c r="Y25">
        <v>0.35</v>
      </c>
      <c r="Z25">
        <f t="shared" si="8"/>
        <v>0.35</v>
      </c>
      <c r="AA25" s="25">
        <f t="shared" si="9"/>
        <v>7.5999999999999998E-2</v>
      </c>
      <c r="AC25" t="s">
        <v>409</v>
      </c>
      <c r="AD25" t="s">
        <v>328</v>
      </c>
    </row>
    <row r="26" spans="1:30" x14ac:dyDescent="0.25">
      <c r="A26">
        <v>25</v>
      </c>
      <c r="B26" t="s">
        <v>220</v>
      </c>
      <c r="E26">
        <f>+'Proposed Streams'!P16</f>
        <v>1940</v>
      </c>
      <c r="F26" s="12">
        <f t="shared" si="11"/>
        <v>1968</v>
      </c>
      <c r="H26" s="12"/>
      <c r="I26" s="12">
        <f>ROUND('Proposed Streams'!S16,0)</f>
        <v>79</v>
      </c>
      <c r="J26" t="s">
        <v>186</v>
      </c>
      <c r="K26">
        <v>15</v>
      </c>
      <c r="L26">
        <v>93</v>
      </c>
      <c r="M26" s="21">
        <f t="shared" si="0"/>
        <v>4077.6000000000004</v>
      </c>
      <c r="N26" s="21">
        <f t="shared" si="12"/>
        <v>4080</v>
      </c>
      <c r="O26" s="21">
        <f t="shared" si="2"/>
        <v>18.487769779006658</v>
      </c>
      <c r="P26" s="21">
        <f t="shared" ref="P26:P47" si="15">( -1366 + 94.66 * K26 + 12.42 * (I26*1.62) - 0.01212 * (I26*1.62) ^ 2)/14</f>
        <v>103.20711211085712</v>
      </c>
      <c r="Q26" s="21">
        <f t="shared" ref="Q26:Q37" si="16">+P26/2</f>
        <v>51.603556055428562</v>
      </c>
      <c r="R26" s="12">
        <f>+(R$37-R$25)/(A$37-A$25)*(A26-A$25)+R$25</f>
        <v>43.75</v>
      </c>
      <c r="S26" s="12">
        <f t="shared" si="5"/>
        <v>43.87096774193548</v>
      </c>
      <c r="W26" t="e">
        <f t="shared" si="6"/>
        <v>#DIV/0!</v>
      </c>
      <c r="X26" t="e">
        <f t="shared" si="7"/>
        <v>#DIV/0!</v>
      </c>
      <c r="Y26">
        <v>0.35</v>
      </c>
      <c r="Z26" t="e">
        <f t="shared" si="8"/>
        <v>#DIV/0!</v>
      </c>
      <c r="AA26" s="25">
        <f t="shared" si="9"/>
        <v>6.3E-2</v>
      </c>
    </row>
    <row r="27" spans="1:30" x14ac:dyDescent="0.25">
      <c r="A27">
        <v>26</v>
      </c>
      <c r="B27" t="s">
        <v>221</v>
      </c>
      <c r="E27">
        <f>+'Proposed Streams'!P17</f>
        <v>1950</v>
      </c>
      <c r="F27" s="12">
        <f t="shared" si="11"/>
        <v>1971.5</v>
      </c>
      <c r="H27" s="12"/>
      <c r="I27" s="12">
        <f>ROUND('Proposed Streams'!S17,0)</f>
        <v>95</v>
      </c>
      <c r="J27" t="s">
        <v>186</v>
      </c>
      <c r="K27">
        <v>20</v>
      </c>
      <c r="L27">
        <v>102</v>
      </c>
      <c r="M27" s="21">
        <f t="shared" si="0"/>
        <v>4830</v>
      </c>
      <c r="N27" s="21">
        <f t="shared" si="12"/>
        <v>4830</v>
      </c>
      <c r="O27" s="21">
        <f t="shared" si="2"/>
        <v>24.051821126472095</v>
      </c>
      <c r="P27" s="21">
        <f t="shared" si="15"/>
        <v>153.68380391428568</v>
      </c>
      <c r="Q27" s="21">
        <f t="shared" si="16"/>
        <v>76.841901957142838</v>
      </c>
      <c r="R27" s="12">
        <f t="shared" ref="R27:R36" si="17">+(R$37-R$25)/(A$37-A$25)*(A27-A$25)+R$25</f>
        <v>47.5</v>
      </c>
      <c r="S27" s="12">
        <f t="shared" si="5"/>
        <v>47.352941176470587</v>
      </c>
      <c r="W27" t="e">
        <f t="shared" si="6"/>
        <v>#DIV/0!</v>
      </c>
      <c r="X27" t="e">
        <f t="shared" si="7"/>
        <v>#DIV/0!</v>
      </c>
      <c r="Y27">
        <v>0.35</v>
      </c>
      <c r="Z27" t="e">
        <f t="shared" si="8"/>
        <v>#DIV/0!</v>
      </c>
      <c r="AA27" s="25">
        <f t="shared" si="9"/>
        <v>5.1999999999999998E-2</v>
      </c>
    </row>
    <row r="28" spans="1:30" x14ac:dyDescent="0.25">
      <c r="A28">
        <v>27</v>
      </c>
      <c r="B28" t="s">
        <v>222</v>
      </c>
      <c r="C28" t="s">
        <v>274</v>
      </c>
      <c r="D28" t="s">
        <v>275</v>
      </c>
      <c r="E28">
        <f>+'Proposed Streams'!P18</f>
        <v>1960</v>
      </c>
      <c r="F28" s="12">
        <f t="shared" si="11"/>
        <v>1975</v>
      </c>
      <c r="H28" s="12">
        <v>1975</v>
      </c>
      <c r="I28" s="12">
        <f>ROUND('Proposed Streams'!S18,0)</f>
        <v>108</v>
      </c>
      <c r="J28" t="s">
        <v>186</v>
      </c>
      <c r="K28">
        <v>20</v>
      </c>
      <c r="L28">
        <v>103</v>
      </c>
      <c r="M28" s="21">
        <f t="shared" si="0"/>
        <v>5277.2000000000007</v>
      </c>
      <c r="N28" s="21">
        <f t="shared" si="12"/>
        <v>5280</v>
      </c>
      <c r="O28" s="21">
        <f t="shared" si="2"/>
        <v>28.443935275780849</v>
      </c>
      <c r="P28" s="21">
        <f t="shared" si="15"/>
        <v>166.37127575771427</v>
      </c>
      <c r="Q28" s="21">
        <f t="shared" si="16"/>
        <v>83.185637878857136</v>
      </c>
      <c r="R28" s="12">
        <f t="shared" si="17"/>
        <v>51.25</v>
      </c>
      <c r="S28" s="12">
        <f t="shared" si="5"/>
        <v>51.262135922330096</v>
      </c>
      <c r="W28" t="e">
        <f t="shared" si="6"/>
        <v>#DIV/0!</v>
      </c>
      <c r="X28" t="e">
        <f t="shared" si="7"/>
        <v>#DIV/0!</v>
      </c>
      <c r="Y28">
        <v>0.35</v>
      </c>
      <c r="Z28" t="e">
        <f t="shared" si="8"/>
        <v>#DIV/0!</v>
      </c>
      <c r="AA28" s="25">
        <f t="shared" si="9"/>
        <v>4.5999999999999999E-2</v>
      </c>
      <c r="AC28" t="s">
        <v>417</v>
      </c>
      <c r="AD28" t="s">
        <v>418</v>
      </c>
    </row>
    <row r="29" spans="1:30" x14ac:dyDescent="0.25">
      <c r="A29">
        <v>28</v>
      </c>
      <c r="B29" t="s">
        <v>223</v>
      </c>
      <c r="E29">
        <f>+'Proposed Streams'!P19</f>
        <v>1970</v>
      </c>
      <c r="F29" s="12">
        <f t="shared" si="11"/>
        <v>1978.5</v>
      </c>
      <c r="H29" s="12"/>
      <c r="I29" s="12">
        <f>ROUND('Proposed Streams'!S19,0)</f>
        <v>118</v>
      </c>
      <c r="J29" t="s">
        <v>186</v>
      </c>
      <c r="K29">
        <v>20</v>
      </c>
      <c r="L29">
        <v>101</v>
      </c>
      <c r="M29" s="21">
        <f t="shared" si="0"/>
        <v>5549.2000000000007</v>
      </c>
      <c r="N29" s="21">
        <f t="shared" si="12"/>
        <v>5550</v>
      </c>
      <c r="O29" s="21">
        <f t="shared" si="2"/>
        <v>31.743981063799282</v>
      </c>
      <c r="P29" s="21">
        <f t="shared" si="15"/>
        <v>175.60831395199997</v>
      </c>
      <c r="Q29" s="21">
        <f t="shared" si="16"/>
        <v>87.804156975999987</v>
      </c>
      <c r="R29" s="12">
        <f t="shared" si="17"/>
        <v>55</v>
      </c>
      <c r="S29" s="12">
        <f t="shared" si="5"/>
        <v>54.950495049504951</v>
      </c>
      <c r="W29" t="e">
        <f t="shared" si="6"/>
        <v>#DIV/0!</v>
      </c>
      <c r="X29" t="e">
        <f t="shared" si="7"/>
        <v>#DIV/0!</v>
      </c>
      <c r="Y29">
        <v>0.35</v>
      </c>
      <c r="Z29" t="e">
        <f t="shared" si="8"/>
        <v>#DIV/0!</v>
      </c>
      <c r="AA29" s="25">
        <f t="shared" si="9"/>
        <v>4.2000000000000003E-2</v>
      </c>
    </row>
    <row r="30" spans="1:30" x14ac:dyDescent="0.25">
      <c r="A30">
        <v>29</v>
      </c>
      <c r="B30" t="s">
        <v>224</v>
      </c>
      <c r="E30">
        <f>+'Proposed Streams'!P20</f>
        <v>1980</v>
      </c>
      <c r="F30" s="12">
        <f t="shared" si="11"/>
        <v>1982</v>
      </c>
      <c r="H30" s="12"/>
      <c r="I30" s="12">
        <f>ROUND('Proposed Streams'!S20,0)</f>
        <v>130</v>
      </c>
      <c r="J30" t="s">
        <v>186</v>
      </c>
      <c r="K30">
        <v>20</v>
      </c>
      <c r="L30">
        <v>101</v>
      </c>
      <c r="M30" s="21">
        <f t="shared" si="0"/>
        <v>5938</v>
      </c>
      <c r="N30" s="21">
        <f t="shared" si="12"/>
        <v>5940</v>
      </c>
      <c r="O30" s="21">
        <f t="shared" si="2"/>
        <v>35.613927578085004</v>
      </c>
      <c r="P30" s="21">
        <f t="shared" si="15"/>
        <v>186.09295691428568</v>
      </c>
      <c r="Q30" s="21">
        <f t="shared" si="16"/>
        <v>93.04647845714284</v>
      </c>
      <c r="R30" s="12">
        <f t="shared" si="17"/>
        <v>58.75</v>
      </c>
      <c r="S30" s="12">
        <f t="shared" si="5"/>
        <v>58.811881188118811</v>
      </c>
      <c r="W30" t="e">
        <f t="shared" si="6"/>
        <v>#DIV/0!</v>
      </c>
      <c r="X30" t="e">
        <f t="shared" si="7"/>
        <v>#DIV/0!</v>
      </c>
      <c r="Y30">
        <v>0.35</v>
      </c>
      <c r="Z30" t="e">
        <f t="shared" si="8"/>
        <v>#DIV/0!</v>
      </c>
      <c r="AA30" s="25">
        <f t="shared" si="9"/>
        <v>3.7999999999999999E-2</v>
      </c>
    </row>
    <row r="31" spans="1:30" x14ac:dyDescent="0.25">
      <c r="A31">
        <v>30</v>
      </c>
      <c r="B31" t="s">
        <v>225</v>
      </c>
      <c r="C31" t="s">
        <v>270</v>
      </c>
      <c r="D31" t="s">
        <v>256</v>
      </c>
      <c r="E31">
        <f>+'Proposed Streams'!P21</f>
        <v>1990</v>
      </c>
      <c r="F31" s="12">
        <f t="shared" si="11"/>
        <v>1985.5</v>
      </c>
      <c r="H31" s="12">
        <v>1985</v>
      </c>
      <c r="I31" s="12">
        <f>ROUND('Proposed Streams'!S21,0)</f>
        <v>144</v>
      </c>
      <c r="J31" t="s">
        <v>186</v>
      </c>
      <c r="K31">
        <v>20</v>
      </c>
      <c r="L31">
        <v>103</v>
      </c>
      <c r="M31" s="21">
        <f t="shared" si="0"/>
        <v>6443.6</v>
      </c>
      <c r="N31" s="21">
        <f t="shared" si="12"/>
        <v>6440</v>
      </c>
      <c r="O31" s="21">
        <f t="shared" si="2"/>
        <v>40.004624765181774</v>
      </c>
      <c r="P31" s="21">
        <f t="shared" si="15"/>
        <v>197.49803944228572</v>
      </c>
      <c r="Q31" s="21">
        <f t="shared" si="16"/>
        <v>98.749019721142858</v>
      </c>
      <c r="R31" s="12">
        <f t="shared" si="17"/>
        <v>62.5</v>
      </c>
      <c r="S31" s="12">
        <f t="shared" si="5"/>
        <v>62.524271844660191</v>
      </c>
      <c r="W31" t="e">
        <f t="shared" si="6"/>
        <v>#DIV/0!</v>
      </c>
      <c r="X31" t="e">
        <f t="shared" si="7"/>
        <v>#DIV/0!</v>
      </c>
      <c r="Y31">
        <v>0.35</v>
      </c>
      <c r="Z31" t="e">
        <f t="shared" si="8"/>
        <v>#DIV/0!</v>
      </c>
      <c r="AA31" s="25">
        <f t="shared" si="9"/>
        <v>3.4000000000000002E-2</v>
      </c>
      <c r="AC31" t="s">
        <v>420</v>
      </c>
      <c r="AD31" t="s">
        <v>419</v>
      </c>
    </row>
    <row r="32" spans="1:30" x14ac:dyDescent="0.25">
      <c r="A32">
        <v>31</v>
      </c>
      <c r="B32" t="s">
        <v>226</v>
      </c>
      <c r="E32">
        <f>+'Proposed Streams'!P22</f>
        <v>2000</v>
      </c>
      <c r="F32" s="12">
        <f t="shared" si="11"/>
        <v>1989</v>
      </c>
      <c r="H32" s="12"/>
      <c r="I32" s="12">
        <f>ROUND('Proposed Streams'!S22,0)</f>
        <v>158</v>
      </c>
      <c r="J32" t="s">
        <v>186</v>
      </c>
      <c r="K32">
        <v>20</v>
      </c>
      <c r="L32">
        <v>105</v>
      </c>
      <c r="M32" s="21">
        <f t="shared" si="0"/>
        <v>6949.2000000000007</v>
      </c>
      <c r="N32" s="21">
        <f t="shared" si="12"/>
        <v>6950</v>
      </c>
      <c r="O32" s="21">
        <f t="shared" si="2"/>
        <v>44.261524584536609</v>
      </c>
      <c r="P32" s="21">
        <f t="shared" si="15"/>
        <v>208.0125055862857</v>
      </c>
      <c r="Q32" s="21">
        <f t="shared" si="16"/>
        <v>104.00625279314285</v>
      </c>
      <c r="R32" s="12">
        <f t="shared" si="17"/>
        <v>66.25</v>
      </c>
      <c r="S32" s="12">
        <f t="shared" si="5"/>
        <v>66.19047619047619</v>
      </c>
      <c r="W32" t="e">
        <f t="shared" si="6"/>
        <v>#DIV/0!</v>
      </c>
      <c r="X32" t="e">
        <f t="shared" si="7"/>
        <v>#DIV/0!</v>
      </c>
      <c r="Y32">
        <v>0.35</v>
      </c>
      <c r="Z32" t="e">
        <f t="shared" si="8"/>
        <v>#DIV/0!</v>
      </c>
      <c r="AA32" s="25">
        <f t="shared" si="9"/>
        <v>3.1E-2</v>
      </c>
    </row>
    <row r="33" spans="1:30" x14ac:dyDescent="0.25">
      <c r="A33">
        <v>32</v>
      </c>
      <c r="B33" t="s">
        <v>227</v>
      </c>
      <c r="C33" t="s">
        <v>262</v>
      </c>
      <c r="D33" t="s">
        <v>278</v>
      </c>
      <c r="E33">
        <f>+'Proposed Streams'!P23</f>
        <v>2010</v>
      </c>
      <c r="F33" s="12">
        <f t="shared" si="11"/>
        <v>1992.5</v>
      </c>
      <c r="H33" s="12"/>
      <c r="I33" s="12">
        <f>ROUND('Proposed Streams'!S23,0)</f>
        <v>171</v>
      </c>
      <c r="J33" t="s">
        <v>186</v>
      </c>
      <c r="K33">
        <v>20</v>
      </c>
      <c r="L33">
        <v>106</v>
      </c>
      <c r="M33" s="21">
        <f t="shared" si="0"/>
        <v>7396.4000000000005</v>
      </c>
      <c r="N33" s="21">
        <f t="shared" si="12"/>
        <v>7400</v>
      </c>
      <c r="O33" s="21">
        <f t="shared" si="2"/>
        <v>48.094556875780846</v>
      </c>
      <c r="P33" s="21">
        <f t="shared" si="15"/>
        <v>216.9784732537143</v>
      </c>
      <c r="Q33" s="21">
        <f t="shared" si="16"/>
        <v>108.48923662685715</v>
      </c>
      <c r="R33" s="12">
        <f t="shared" si="17"/>
        <v>70</v>
      </c>
      <c r="S33" s="12">
        <f t="shared" si="5"/>
        <v>69.811320754716988</v>
      </c>
      <c r="W33" t="e">
        <f t="shared" si="6"/>
        <v>#DIV/0!</v>
      </c>
      <c r="X33" t="e">
        <f t="shared" si="7"/>
        <v>#DIV/0!</v>
      </c>
      <c r="Y33">
        <v>0.35</v>
      </c>
      <c r="Z33" t="e">
        <f t="shared" si="8"/>
        <v>#DIV/0!</v>
      </c>
      <c r="AA33" s="25">
        <f t="shared" si="9"/>
        <v>2.9000000000000001E-2</v>
      </c>
    </row>
    <row r="34" spans="1:30" x14ac:dyDescent="0.25">
      <c r="A34">
        <v>33</v>
      </c>
      <c r="B34" t="s">
        <v>228</v>
      </c>
      <c r="C34" t="s">
        <v>267</v>
      </c>
      <c r="D34" t="s">
        <v>277</v>
      </c>
      <c r="E34">
        <f>+'Proposed Streams'!P24</f>
        <v>2020</v>
      </c>
      <c r="F34" s="12">
        <f t="shared" si="11"/>
        <v>1996</v>
      </c>
      <c r="H34" s="12">
        <v>1996</v>
      </c>
      <c r="I34" s="12">
        <f>ROUND('Proposed Streams'!S24,0)</f>
        <v>185</v>
      </c>
      <c r="J34" t="s">
        <v>186</v>
      </c>
      <c r="K34">
        <v>20</v>
      </c>
      <c r="L34">
        <v>107</v>
      </c>
      <c r="M34" s="21">
        <f t="shared" si="0"/>
        <v>7876</v>
      </c>
      <c r="N34" s="21">
        <f t="shared" si="12"/>
        <v>7880</v>
      </c>
      <c r="O34" s="21">
        <f t="shared" si="2"/>
        <v>52.093418914490535</v>
      </c>
      <c r="P34" s="21">
        <f t="shared" si="15"/>
        <v>225.77532208571424</v>
      </c>
      <c r="Q34" s="21">
        <f t="shared" si="16"/>
        <v>112.88766104285712</v>
      </c>
      <c r="R34" s="12">
        <f t="shared" si="17"/>
        <v>73.75</v>
      </c>
      <c r="S34" s="12">
        <f t="shared" si="5"/>
        <v>73.644859813084111</v>
      </c>
      <c r="U34">
        <v>6</v>
      </c>
      <c r="V34">
        <v>6</v>
      </c>
      <c r="W34">
        <f t="shared" si="6"/>
        <v>17.833333333333332</v>
      </c>
      <c r="X34" t="str">
        <f t="shared" si="7"/>
        <v>B</v>
      </c>
      <c r="Y34">
        <v>0.35</v>
      </c>
      <c r="Z34">
        <f t="shared" si="8"/>
        <v>0.35</v>
      </c>
      <c r="AA34" s="25">
        <f t="shared" si="9"/>
        <v>2.7E-2</v>
      </c>
      <c r="AC34" t="s">
        <v>409</v>
      </c>
      <c r="AD34" t="s">
        <v>330</v>
      </c>
    </row>
    <row r="35" spans="1:30" x14ac:dyDescent="0.25">
      <c r="A35">
        <v>34</v>
      </c>
      <c r="B35" t="s">
        <v>229</v>
      </c>
      <c r="C35" t="s">
        <v>270</v>
      </c>
      <c r="D35" t="s">
        <v>257</v>
      </c>
      <c r="E35">
        <f>+'Proposed Streams'!P25</f>
        <v>2030</v>
      </c>
      <c r="F35" s="12">
        <f t="shared" si="11"/>
        <v>1999.5</v>
      </c>
      <c r="H35" s="12"/>
      <c r="I35" s="12">
        <f>ROUND('Proposed Streams'!S25,0)</f>
        <v>198</v>
      </c>
      <c r="J35" t="s">
        <v>186</v>
      </c>
      <c r="K35">
        <v>20</v>
      </c>
      <c r="L35">
        <v>107</v>
      </c>
      <c r="M35" s="21">
        <f t="shared" si="0"/>
        <v>8297.2000000000007</v>
      </c>
      <c r="N35" s="21">
        <f t="shared" si="12"/>
        <v>8300</v>
      </c>
      <c r="O35" s="21">
        <f t="shared" si="2"/>
        <v>55.686844695135697</v>
      </c>
      <c r="P35" s="21">
        <f t="shared" si="15"/>
        <v>233.14635939199999</v>
      </c>
      <c r="Q35" s="21">
        <f t="shared" si="16"/>
        <v>116.573179696</v>
      </c>
      <c r="R35" s="12">
        <f t="shared" si="17"/>
        <v>77.5</v>
      </c>
      <c r="S35" s="12">
        <f t="shared" si="5"/>
        <v>77.570093457943926</v>
      </c>
      <c r="W35" t="e">
        <f t="shared" si="6"/>
        <v>#DIV/0!</v>
      </c>
      <c r="X35" t="e">
        <f t="shared" si="7"/>
        <v>#DIV/0!</v>
      </c>
      <c r="Y35">
        <v>0.35</v>
      </c>
      <c r="Z35" t="e">
        <f t="shared" si="8"/>
        <v>#DIV/0!</v>
      </c>
      <c r="AA35" s="25">
        <f t="shared" si="9"/>
        <v>2.5000000000000001E-2</v>
      </c>
    </row>
    <row r="36" spans="1:30" x14ac:dyDescent="0.25">
      <c r="A36">
        <v>35</v>
      </c>
      <c r="B36" t="s">
        <v>230</v>
      </c>
      <c r="E36">
        <f>+'Proposed Streams'!P26</f>
        <v>2040</v>
      </c>
      <c r="F36" s="12">
        <f t="shared" si="11"/>
        <v>2003</v>
      </c>
      <c r="H36" s="12"/>
      <c r="I36" s="12">
        <f>ROUND('Proposed Streams'!S26,0)</f>
        <v>211</v>
      </c>
      <c r="J36" t="s">
        <v>186</v>
      </c>
      <c r="K36">
        <v>20</v>
      </c>
      <c r="L36">
        <v>107</v>
      </c>
      <c r="M36" s="21">
        <f t="shared" si="0"/>
        <v>8718.4000000000015</v>
      </c>
      <c r="N36" s="21">
        <f t="shared" si="12"/>
        <v>8720</v>
      </c>
      <c r="O36" s="21">
        <f t="shared" si="2"/>
        <v>59.164904378084998</v>
      </c>
      <c r="P36" s="21">
        <f t="shared" si="15"/>
        <v>239.74946726514284</v>
      </c>
      <c r="Q36" s="21">
        <f t="shared" si="16"/>
        <v>119.87473363257142</v>
      </c>
      <c r="R36" s="12">
        <f t="shared" si="17"/>
        <v>81.25</v>
      </c>
      <c r="S36" s="12">
        <f t="shared" si="5"/>
        <v>81.495327102803742</v>
      </c>
      <c r="W36" t="e">
        <f t="shared" si="6"/>
        <v>#DIV/0!</v>
      </c>
      <c r="X36" t="e">
        <f t="shared" si="7"/>
        <v>#DIV/0!</v>
      </c>
      <c r="Y36">
        <v>0.35</v>
      </c>
      <c r="Z36" t="e">
        <f t="shared" si="8"/>
        <v>#DIV/0!</v>
      </c>
      <c r="AA36" s="25">
        <f t="shared" si="9"/>
        <v>2.3E-2</v>
      </c>
    </row>
    <row r="37" spans="1:30" x14ac:dyDescent="0.25">
      <c r="A37">
        <v>36</v>
      </c>
      <c r="B37" t="s">
        <v>231</v>
      </c>
      <c r="C37" t="s">
        <v>274</v>
      </c>
      <c r="D37" t="s">
        <v>276</v>
      </c>
      <c r="E37">
        <f>+'Proposed Streams'!P27</f>
        <v>2050</v>
      </c>
      <c r="F37" s="12">
        <f t="shared" si="11"/>
        <v>2006.5</v>
      </c>
      <c r="H37" s="12">
        <v>2006</v>
      </c>
      <c r="I37" s="12">
        <f>ROUND('Proposed Streams'!S27,0)</f>
        <v>225</v>
      </c>
      <c r="J37" t="s">
        <v>186</v>
      </c>
      <c r="K37">
        <v>30</v>
      </c>
      <c r="L37">
        <v>108</v>
      </c>
      <c r="M37" s="21">
        <f t="shared" si="0"/>
        <v>9198</v>
      </c>
      <c r="N37" s="21">
        <f t="shared" si="12"/>
        <v>9200</v>
      </c>
      <c r="O37" s="21">
        <f t="shared" si="2"/>
        <v>62.781488223246285</v>
      </c>
      <c r="P37" s="21">
        <f t="shared" si="15"/>
        <v>313.6159835714285</v>
      </c>
      <c r="Q37" s="21">
        <f t="shared" si="16"/>
        <v>156.80799178571425</v>
      </c>
      <c r="R37" s="21">
        <v>85</v>
      </c>
      <c r="S37" s="12">
        <f t="shared" si="5"/>
        <v>85.18518518518519</v>
      </c>
      <c r="U37">
        <v>6</v>
      </c>
      <c r="V37">
        <v>6</v>
      </c>
      <c r="W37">
        <f t="shared" si="6"/>
        <v>18</v>
      </c>
      <c r="X37" t="str">
        <f t="shared" si="7"/>
        <v>B</v>
      </c>
      <c r="Y37">
        <v>0.35</v>
      </c>
      <c r="Z37">
        <f t="shared" si="8"/>
        <v>0.35</v>
      </c>
      <c r="AA37" s="25">
        <f t="shared" si="9"/>
        <v>2.1999999999999999E-2</v>
      </c>
      <c r="AC37" t="s">
        <v>409</v>
      </c>
      <c r="AD37" t="s">
        <v>331</v>
      </c>
    </row>
    <row r="38" spans="1:30" x14ac:dyDescent="0.25">
      <c r="A38">
        <v>37</v>
      </c>
      <c r="B38" t="s">
        <v>233</v>
      </c>
      <c r="C38" t="s">
        <v>270</v>
      </c>
      <c r="D38" t="s">
        <v>271</v>
      </c>
      <c r="E38">
        <f>+'Proposed Streams'!P23</f>
        <v>2010</v>
      </c>
      <c r="F38" s="12">
        <f t="shared" ref="F38:F57" si="18">+(E38-E$5)/(E$58-E$5)*(F$58-F$5)+F$5</f>
        <v>1992.5</v>
      </c>
      <c r="H38" s="12">
        <v>1992</v>
      </c>
      <c r="I38" s="12">
        <f>ROUND('Proposed Streams'!T23,0)</f>
        <v>148</v>
      </c>
      <c r="J38" t="s">
        <v>243</v>
      </c>
      <c r="K38">
        <v>12</v>
      </c>
      <c r="L38">
        <v>113</v>
      </c>
      <c r="M38" s="21">
        <f t="shared" si="0"/>
        <v>6833.2000000000007</v>
      </c>
      <c r="N38" s="21">
        <f t="shared" si="12"/>
        <v>6830</v>
      </c>
      <c r="O38" s="21">
        <f t="shared" si="2"/>
        <v>41.234534649052748</v>
      </c>
      <c r="P38" s="21">
        <f t="shared" si="15"/>
        <v>146.50162327771432</v>
      </c>
      <c r="Q38" s="21">
        <f>+P38/2</f>
        <v>73.250811638857158</v>
      </c>
      <c r="R38" s="21">
        <v>60</v>
      </c>
      <c r="S38" s="12">
        <f t="shared" si="5"/>
        <v>60.442477876106196</v>
      </c>
      <c r="Y38">
        <v>0.4</v>
      </c>
      <c r="Z38" t="e">
        <f t="shared" si="8"/>
        <v>#DIV/0!</v>
      </c>
      <c r="AA38" s="25">
        <f t="shared" si="9"/>
        <v>3.3000000000000002E-2</v>
      </c>
      <c r="AC38" t="s">
        <v>416</v>
      </c>
      <c r="AD38" t="s">
        <v>415</v>
      </c>
    </row>
    <row r="39" spans="1:30" x14ac:dyDescent="0.25">
      <c r="A39">
        <v>38</v>
      </c>
      <c r="B39" t="s">
        <v>234</v>
      </c>
      <c r="E39">
        <f>+'Proposed Streams'!P24</f>
        <v>2020</v>
      </c>
      <c r="F39" s="12">
        <f t="shared" si="18"/>
        <v>1996</v>
      </c>
      <c r="H39" s="12"/>
      <c r="I39" s="12">
        <f>ROUND('Proposed Streams'!T24,0)</f>
        <v>172</v>
      </c>
      <c r="J39" t="s">
        <v>243</v>
      </c>
      <c r="K39">
        <v>15</v>
      </c>
      <c r="L39">
        <v>115</v>
      </c>
      <c r="M39" s="21">
        <f t="shared" si="0"/>
        <v>7662.8</v>
      </c>
      <c r="N39" s="21">
        <f t="shared" si="12"/>
        <v>7660</v>
      </c>
      <c r="O39" s="21">
        <f t="shared" si="2"/>
        <v>48.384627036149517</v>
      </c>
      <c r="P39" s="21">
        <f t="shared" si="15"/>
        <v>183.82921248914286</v>
      </c>
      <c r="Q39" s="21">
        <f t="shared" ref="Q39:Q47" si="19">+P39/2</f>
        <v>91.914606244571431</v>
      </c>
      <c r="R39" s="12">
        <f>+(R$47-R$38)/(A$47-A$38)*(A39-A$38)+R$38</f>
        <v>66.666666666666671</v>
      </c>
      <c r="S39" s="12">
        <f t="shared" si="5"/>
        <v>66.608695652173907</v>
      </c>
      <c r="Y39">
        <v>0.4</v>
      </c>
      <c r="Z39" t="e">
        <f t="shared" si="8"/>
        <v>#DIV/0!</v>
      </c>
      <c r="AA39" s="25">
        <f t="shared" si="9"/>
        <v>2.9000000000000001E-2</v>
      </c>
    </row>
    <row r="40" spans="1:30" x14ac:dyDescent="0.25">
      <c r="A40">
        <v>39</v>
      </c>
      <c r="B40" t="s">
        <v>235</v>
      </c>
      <c r="E40">
        <f>+'Proposed Streams'!P25</f>
        <v>2030</v>
      </c>
      <c r="F40" s="12">
        <f t="shared" si="18"/>
        <v>1999.5</v>
      </c>
      <c r="H40" s="12"/>
      <c r="I40" s="12">
        <f>ROUND('Proposed Streams'!T25,0)</f>
        <v>195</v>
      </c>
      <c r="J40" t="s">
        <v>243</v>
      </c>
      <c r="K40">
        <v>20</v>
      </c>
      <c r="L40">
        <v>115</v>
      </c>
      <c r="M40" s="21">
        <f t="shared" si="0"/>
        <v>8408</v>
      </c>
      <c r="N40" s="21">
        <f t="shared" si="12"/>
        <v>8410</v>
      </c>
      <c r="O40" s="21">
        <f t="shared" si="2"/>
        <v>54.867832186379928</v>
      </c>
      <c r="P40" s="21">
        <f t="shared" si="15"/>
        <v>231.51351019999996</v>
      </c>
      <c r="Q40" s="21">
        <f t="shared" si="19"/>
        <v>115.75675509999998</v>
      </c>
      <c r="R40" s="12">
        <f t="shared" ref="R40:R46" si="20">+(R$47-R$38)/(A$47-A$38)*(A40-A$38)+R$38</f>
        <v>73.333333333333329</v>
      </c>
      <c r="S40" s="12">
        <f t="shared" si="5"/>
        <v>73.130434782608702</v>
      </c>
      <c r="Y40">
        <v>0.4</v>
      </c>
      <c r="Z40" t="e">
        <f t="shared" si="8"/>
        <v>#DIV/0!</v>
      </c>
      <c r="AA40" s="25">
        <f t="shared" si="9"/>
        <v>2.5000000000000001E-2</v>
      </c>
    </row>
    <row r="41" spans="1:30" x14ac:dyDescent="0.25">
      <c r="A41">
        <v>40</v>
      </c>
      <c r="B41" t="s">
        <v>236</v>
      </c>
      <c r="C41" t="s">
        <v>262</v>
      </c>
      <c r="D41" t="s">
        <v>279</v>
      </c>
      <c r="E41">
        <f>+'Proposed Streams'!P26</f>
        <v>2040</v>
      </c>
      <c r="F41" s="12">
        <f t="shared" si="18"/>
        <v>2003</v>
      </c>
      <c r="H41" s="12">
        <v>2003</v>
      </c>
      <c r="I41" s="12">
        <f>ROUND('Proposed Streams'!T26,0)</f>
        <v>218</v>
      </c>
      <c r="J41" t="s">
        <v>243</v>
      </c>
      <c r="K41">
        <v>20</v>
      </c>
      <c r="L41">
        <v>114</v>
      </c>
      <c r="M41" s="21">
        <f t="shared" si="0"/>
        <v>9127.2000000000007</v>
      </c>
      <c r="N41" s="21">
        <f t="shared" si="12"/>
        <v>9130</v>
      </c>
      <c r="O41" s="21">
        <f t="shared" si="2"/>
        <v>60.989920971633389</v>
      </c>
      <c r="P41" s="21">
        <f t="shared" si="15"/>
        <v>242.98690960914288</v>
      </c>
      <c r="Q41" s="21">
        <f t="shared" si="19"/>
        <v>121.49345480457144</v>
      </c>
      <c r="R41" s="12">
        <f t="shared" si="20"/>
        <v>80</v>
      </c>
      <c r="S41" s="12">
        <f t="shared" si="5"/>
        <v>80.087719298245617</v>
      </c>
      <c r="U41">
        <v>4</v>
      </c>
      <c r="V41">
        <v>4</v>
      </c>
      <c r="Y41">
        <v>0.4</v>
      </c>
      <c r="Z41">
        <f t="shared" si="8"/>
        <v>0.4</v>
      </c>
      <c r="AA41" s="25">
        <f t="shared" si="9"/>
        <v>2.3E-2</v>
      </c>
      <c r="AC41" t="s">
        <v>409</v>
      </c>
      <c r="AD41" t="s">
        <v>329</v>
      </c>
    </row>
    <row r="42" spans="1:30" x14ac:dyDescent="0.25">
      <c r="A42">
        <v>41</v>
      </c>
      <c r="B42" t="s">
        <v>237</v>
      </c>
      <c r="E42">
        <f>+'Proposed Streams'!P27</f>
        <v>2050</v>
      </c>
      <c r="F42" s="12">
        <f t="shared" si="18"/>
        <v>2006.5</v>
      </c>
      <c r="H42" s="12"/>
      <c r="I42" s="12">
        <f>ROUND('Proposed Streams'!T27,0)</f>
        <v>238</v>
      </c>
      <c r="J42" t="s">
        <v>243</v>
      </c>
      <c r="K42">
        <v>20</v>
      </c>
      <c r="L42">
        <v>112</v>
      </c>
      <c r="M42" s="21">
        <f t="shared" si="0"/>
        <v>9723.2000000000007</v>
      </c>
      <c r="N42" s="21">
        <f t="shared" si="12"/>
        <v>9720</v>
      </c>
      <c r="O42" s="21">
        <f t="shared" si="2"/>
        <v>66.019941395596533</v>
      </c>
      <c r="P42" s="21">
        <f t="shared" si="15"/>
        <v>251.00987536914286</v>
      </c>
      <c r="Q42" s="21">
        <f t="shared" si="19"/>
        <v>125.50493768457143</v>
      </c>
      <c r="R42" s="12">
        <f t="shared" si="20"/>
        <v>86.666666666666671</v>
      </c>
      <c r="S42" s="12">
        <f t="shared" si="5"/>
        <v>86.785714285714292</v>
      </c>
      <c r="Y42">
        <v>0.4</v>
      </c>
      <c r="Z42" t="e">
        <f t="shared" si="8"/>
        <v>#DIV/0!</v>
      </c>
      <c r="AA42" s="25">
        <f t="shared" si="9"/>
        <v>2.1000000000000001E-2</v>
      </c>
    </row>
    <row r="43" spans="1:30" x14ac:dyDescent="0.25">
      <c r="A43">
        <v>42</v>
      </c>
      <c r="B43" t="s">
        <v>238</v>
      </c>
      <c r="E43">
        <f>+'Proposed Streams'!P28</f>
        <v>2060</v>
      </c>
      <c r="F43" s="12">
        <f t="shared" si="18"/>
        <v>2010</v>
      </c>
      <c r="H43" s="12"/>
      <c r="I43" s="12">
        <f>ROUND('Proposed Streams'!T28,0)</f>
        <v>258</v>
      </c>
      <c r="J43" t="s">
        <v>243</v>
      </c>
      <c r="K43">
        <v>20</v>
      </c>
      <c r="L43">
        <v>110</v>
      </c>
      <c r="M43" s="21">
        <f t="shared" si="0"/>
        <v>10319.200000000001</v>
      </c>
      <c r="N43" s="21">
        <f>+ROUND(M43,-2)</f>
        <v>10300</v>
      </c>
      <c r="O43" s="21">
        <f t="shared" si="2"/>
        <v>70.776905967025087</v>
      </c>
      <c r="P43" s="21">
        <f t="shared" si="15"/>
        <v>257.21525667200001</v>
      </c>
      <c r="Q43" s="21">
        <f t="shared" si="19"/>
        <v>128.607628336</v>
      </c>
      <c r="R43" s="12">
        <f t="shared" si="20"/>
        <v>93.333333333333343</v>
      </c>
      <c r="S43" s="12">
        <f t="shared" si="5"/>
        <v>93.63636363636364</v>
      </c>
      <c r="Y43">
        <v>0.4</v>
      </c>
      <c r="Z43" t="e">
        <f t="shared" si="8"/>
        <v>#DIV/0!</v>
      </c>
      <c r="AA43" s="25">
        <f t="shared" si="9"/>
        <v>1.9E-2</v>
      </c>
    </row>
    <row r="44" spans="1:30" x14ac:dyDescent="0.25">
      <c r="A44">
        <v>43</v>
      </c>
      <c r="B44" t="s">
        <v>239</v>
      </c>
      <c r="C44" t="s">
        <v>274</v>
      </c>
      <c r="D44" t="s">
        <v>295</v>
      </c>
      <c r="E44">
        <f>+'Proposed Streams'!P29</f>
        <v>2070</v>
      </c>
      <c r="F44" s="12">
        <f t="shared" si="18"/>
        <v>2013.5</v>
      </c>
      <c r="H44" s="12">
        <v>2013</v>
      </c>
      <c r="I44" s="12">
        <f>ROUND('Proposed Streams'!T29,0)</f>
        <v>277</v>
      </c>
      <c r="J44" t="s">
        <v>243</v>
      </c>
      <c r="K44">
        <v>20</v>
      </c>
      <c r="L44">
        <v>109</v>
      </c>
      <c r="M44" s="21">
        <f t="shared" si="0"/>
        <v>10908.800000000001</v>
      </c>
      <c r="N44" s="21">
        <f t="shared" ref="N44:N47" si="21">+ROUND(M44,-2)</f>
        <v>10900</v>
      </c>
      <c r="O44" s="21">
        <f t="shared" si="2"/>
        <v>75.043104326472118</v>
      </c>
      <c r="P44" s="21">
        <f t="shared" si="15"/>
        <v>261.42683130628569</v>
      </c>
      <c r="Q44" s="21">
        <f t="shared" si="19"/>
        <v>130.71341565314285</v>
      </c>
      <c r="R44" s="12">
        <f t="shared" si="20"/>
        <v>100</v>
      </c>
      <c r="S44" s="12">
        <f t="shared" si="5"/>
        <v>100</v>
      </c>
      <c r="U44">
        <v>4</v>
      </c>
      <c r="V44">
        <v>4</v>
      </c>
      <c r="Y44">
        <v>0.4</v>
      </c>
      <c r="Z44">
        <f t="shared" si="8"/>
        <v>0.4</v>
      </c>
      <c r="AA44" s="25">
        <f t="shared" si="9"/>
        <v>1.7999999999999999E-2</v>
      </c>
      <c r="AC44" t="s">
        <v>421</v>
      </c>
      <c r="AD44" t="s">
        <v>422</v>
      </c>
    </row>
    <row r="45" spans="1:30" x14ac:dyDescent="0.25">
      <c r="A45">
        <v>44</v>
      </c>
      <c r="B45" t="s">
        <v>240</v>
      </c>
      <c r="C45" t="s">
        <v>291</v>
      </c>
      <c r="D45" t="s">
        <v>309</v>
      </c>
      <c r="E45">
        <f>+'Proposed Streams'!P30</f>
        <v>2080</v>
      </c>
      <c r="F45" s="12">
        <f t="shared" si="18"/>
        <v>2017</v>
      </c>
      <c r="H45" s="12"/>
      <c r="I45" s="12">
        <f>ROUND('Proposed Streams'!T30,0)</f>
        <v>294</v>
      </c>
      <c r="J45" t="s">
        <v>243</v>
      </c>
      <c r="K45">
        <v>20</v>
      </c>
      <c r="L45">
        <v>107</v>
      </c>
      <c r="M45" s="21">
        <f t="shared" si="0"/>
        <v>11407.6</v>
      </c>
      <c r="N45" s="21">
        <f t="shared" si="21"/>
        <v>11400</v>
      </c>
      <c r="O45" s="21">
        <f t="shared" si="2"/>
        <v>78.651341447209433</v>
      </c>
      <c r="P45" s="21">
        <f t="shared" si="15"/>
        <v>263.80463018514286</v>
      </c>
      <c r="Q45" s="21">
        <f t="shared" si="19"/>
        <v>131.90231509257143</v>
      </c>
      <c r="R45" s="12">
        <f t="shared" si="20"/>
        <v>106.66666666666667</v>
      </c>
      <c r="S45" s="12">
        <f t="shared" si="5"/>
        <v>106.54205607476635</v>
      </c>
      <c r="Y45">
        <v>0.4</v>
      </c>
      <c r="Z45" t="e">
        <f t="shared" si="8"/>
        <v>#DIV/0!</v>
      </c>
      <c r="AA45" s="25">
        <f t="shared" si="9"/>
        <v>1.7000000000000001E-2</v>
      </c>
    </row>
    <row r="46" spans="1:30" x14ac:dyDescent="0.25">
      <c r="A46">
        <v>45</v>
      </c>
      <c r="B46" t="s">
        <v>241</v>
      </c>
      <c r="E46">
        <f>+'Proposed Streams'!P31</f>
        <v>2090</v>
      </c>
      <c r="F46" s="12">
        <f t="shared" si="18"/>
        <v>2020.5</v>
      </c>
      <c r="H46" s="12"/>
      <c r="I46" s="12">
        <f>ROUND('Proposed Streams'!T31,0)</f>
        <v>312</v>
      </c>
      <c r="J46" t="s">
        <v>243</v>
      </c>
      <c r="K46">
        <v>20</v>
      </c>
      <c r="L46">
        <v>105</v>
      </c>
      <c r="M46" s="21">
        <f t="shared" si="0"/>
        <v>11938.800000000001</v>
      </c>
      <c r="N46" s="21">
        <f t="shared" si="21"/>
        <v>11900</v>
      </c>
      <c r="O46" s="21">
        <f t="shared" si="2"/>
        <v>82.256796326472099</v>
      </c>
      <c r="P46" s="21">
        <f t="shared" si="15"/>
        <v>264.89095182628574</v>
      </c>
      <c r="Q46" s="21">
        <f t="shared" si="19"/>
        <v>132.44547591314287</v>
      </c>
      <c r="R46" s="12">
        <f t="shared" si="20"/>
        <v>113.33333333333334</v>
      </c>
      <c r="S46" s="12">
        <f t="shared" si="5"/>
        <v>113.33333333333333</v>
      </c>
      <c r="Y46">
        <v>0.4</v>
      </c>
      <c r="Z46" t="e">
        <f t="shared" si="8"/>
        <v>#DIV/0!</v>
      </c>
      <c r="AA46" s="25">
        <f t="shared" si="9"/>
        <v>1.6E-2</v>
      </c>
    </row>
    <row r="47" spans="1:30" x14ac:dyDescent="0.25">
      <c r="A47">
        <v>46</v>
      </c>
      <c r="B47" t="s">
        <v>242</v>
      </c>
      <c r="C47" t="s">
        <v>262</v>
      </c>
      <c r="D47" t="s">
        <v>263</v>
      </c>
      <c r="E47">
        <f>+'Proposed Streams'!P32</f>
        <v>2100</v>
      </c>
      <c r="F47" s="12">
        <f t="shared" si="18"/>
        <v>2024</v>
      </c>
      <c r="H47" s="12">
        <v>2024</v>
      </c>
      <c r="I47" s="12">
        <f>ROUND('Proposed Streams'!T32,0)</f>
        <v>335</v>
      </c>
      <c r="J47" t="s">
        <v>243</v>
      </c>
      <c r="K47">
        <v>30</v>
      </c>
      <c r="L47">
        <v>106</v>
      </c>
      <c r="M47" s="21">
        <f t="shared" si="0"/>
        <v>12710</v>
      </c>
      <c r="N47" s="21">
        <f t="shared" si="21"/>
        <v>12700</v>
      </c>
      <c r="O47" s="21">
        <f t="shared" si="2"/>
        <v>86.541901863799296</v>
      </c>
      <c r="P47" s="21">
        <f t="shared" si="15"/>
        <v>331.75083751428571</v>
      </c>
      <c r="Q47" s="21">
        <f t="shared" si="19"/>
        <v>165.87541875714285</v>
      </c>
      <c r="R47" s="21">
        <v>120</v>
      </c>
      <c r="S47" s="12">
        <f t="shared" si="5"/>
        <v>119.81132075471699</v>
      </c>
      <c r="U47">
        <v>4</v>
      </c>
      <c r="V47">
        <v>4</v>
      </c>
      <c r="Y47">
        <v>0.4</v>
      </c>
      <c r="Z47">
        <f t="shared" si="8"/>
        <v>0.4</v>
      </c>
      <c r="AA47" s="25">
        <f t="shared" si="9"/>
        <v>1.4999999999999999E-2</v>
      </c>
      <c r="AC47" t="s">
        <v>409</v>
      </c>
      <c r="AD47" t="s">
        <v>332</v>
      </c>
    </row>
    <row r="48" spans="1:30" x14ac:dyDescent="0.25">
      <c r="A48">
        <v>47</v>
      </c>
      <c r="B48" t="s">
        <v>244</v>
      </c>
      <c r="C48" t="s">
        <v>266</v>
      </c>
      <c r="D48" t="s">
        <v>259</v>
      </c>
      <c r="E48">
        <f>+'Proposed Streams'!P28</f>
        <v>2060</v>
      </c>
      <c r="F48" s="12">
        <f t="shared" si="18"/>
        <v>2010</v>
      </c>
      <c r="H48" s="12">
        <v>2010</v>
      </c>
      <c r="I48" s="12">
        <f>ROUND('Proposed Streams'!U28,0)</f>
        <v>225</v>
      </c>
      <c r="J48" t="s">
        <v>188</v>
      </c>
      <c r="K48">
        <v>10</v>
      </c>
      <c r="L48">
        <v>100</v>
      </c>
      <c r="M48" s="21">
        <f t="shared" si="0"/>
        <v>8990</v>
      </c>
      <c r="N48" s="21">
        <f t="shared" si="12"/>
        <v>8990</v>
      </c>
      <c r="O48" s="21">
        <f t="shared" si="2"/>
        <v>62.781488223246285</v>
      </c>
      <c r="P48" s="21">
        <f>( -1366 + 94.66 * K48 + 12.42 * (I48*1.62))/2.5/14</f>
        <v>117.36257142857144</v>
      </c>
      <c r="Q48" s="21">
        <f>+P48/2</f>
        <v>58.681285714285721</v>
      </c>
      <c r="R48" s="21">
        <v>90</v>
      </c>
      <c r="S48" s="12">
        <f t="shared" si="5"/>
        <v>89.9</v>
      </c>
      <c r="AA48" s="25">
        <f t="shared" si="9"/>
        <v>2.1999999999999999E-2</v>
      </c>
      <c r="AC48" t="s">
        <v>435</v>
      </c>
      <c r="AD48" t="s">
        <v>436</v>
      </c>
    </row>
    <row r="49" spans="1:30" x14ac:dyDescent="0.25">
      <c r="A49">
        <v>48</v>
      </c>
      <c r="B49" t="s">
        <v>245</v>
      </c>
      <c r="C49" t="s">
        <v>262</v>
      </c>
      <c r="D49" t="s">
        <v>280</v>
      </c>
      <c r="E49">
        <f>+'Proposed Streams'!P29</f>
        <v>2070</v>
      </c>
      <c r="F49" s="12">
        <f t="shared" si="18"/>
        <v>2013.5</v>
      </c>
      <c r="H49" s="12"/>
      <c r="I49" s="12">
        <f>ROUND('Proposed Streams'!U29,0)</f>
        <v>256</v>
      </c>
      <c r="J49" t="s">
        <v>188</v>
      </c>
      <c r="K49">
        <v>15</v>
      </c>
      <c r="L49">
        <v>101</v>
      </c>
      <c r="M49" s="21">
        <f t="shared" si="0"/>
        <v>10020.400000000001</v>
      </c>
      <c r="N49" s="21">
        <f>+ROUND(M49,-2)</f>
        <v>10000</v>
      </c>
      <c r="O49" s="21">
        <f t="shared" si="2"/>
        <v>70.313497023246299</v>
      </c>
      <c r="P49" s="21">
        <f t="shared" ref="P49:P58" si="22">( -1366 + 94.66 * K49 + 12.42 * (I49*1.62))/2.5/14</f>
        <v>148.70635428571427</v>
      </c>
      <c r="Q49" s="21">
        <f t="shared" ref="Q49:Q58" si="23">+P49/2</f>
        <v>74.353177142857135</v>
      </c>
      <c r="R49" s="12">
        <f>+(R$58-R$48)/(A$58-A$48)*(A49-A$48)+R$48</f>
        <v>99</v>
      </c>
      <c r="S49" s="12">
        <f t="shared" si="5"/>
        <v>99.009900990099013</v>
      </c>
      <c r="AA49" s="25">
        <f t="shared" si="9"/>
        <v>1.9E-2</v>
      </c>
    </row>
    <row r="50" spans="1:30" x14ac:dyDescent="0.25">
      <c r="A50">
        <v>49</v>
      </c>
      <c r="B50" t="s">
        <v>246</v>
      </c>
      <c r="C50" t="s">
        <v>291</v>
      </c>
      <c r="D50" t="s">
        <v>296</v>
      </c>
      <c r="E50">
        <f>+'Proposed Streams'!P30</f>
        <v>2080</v>
      </c>
      <c r="F50" s="12">
        <f t="shared" si="18"/>
        <v>2017</v>
      </c>
      <c r="H50" s="12">
        <v>2017</v>
      </c>
      <c r="I50" s="12">
        <f>ROUND('Proposed Streams'!U30,0)</f>
        <v>291</v>
      </c>
      <c r="J50" t="s">
        <v>188</v>
      </c>
      <c r="K50">
        <v>20</v>
      </c>
      <c r="L50">
        <v>104</v>
      </c>
      <c r="M50" s="21">
        <f t="shared" si="0"/>
        <v>11232.400000000001</v>
      </c>
      <c r="N50" s="21">
        <f t="shared" ref="N50:N58" si="24">+ROUND(M50,-2)</f>
        <v>11200</v>
      </c>
      <c r="O50" s="21">
        <f t="shared" si="2"/>
        <v>78.02892915227855</v>
      </c>
      <c r="P50" s="21">
        <f t="shared" si="22"/>
        <v>182.34961142857142</v>
      </c>
      <c r="Q50" s="21">
        <f t="shared" si="23"/>
        <v>91.174805714285711</v>
      </c>
      <c r="R50" s="12">
        <f t="shared" ref="R50:R57" si="25">+(R$58-R$48)/(A$58-A$48)*(A50-A$48)+R$48</f>
        <v>108</v>
      </c>
      <c r="S50" s="12">
        <f t="shared" si="5"/>
        <v>107.69230769230769</v>
      </c>
      <c r="AA50" s="25">
        <f t="shared" si="9"/>
        <v>1.7000000000000001E-2</v>
      </c>
      <c r="AC50" t="s">
        <v>424</v>
      </c>
      <c r="AD50" t="s">
        <v>423</v>
      </c>
    </row>
    <row r="51" spans="1:30" x14ac:dyDescent="0.25">
      <c r="A51">
        <v>50</v>
      </c>
      <c r="B51" t="s">
        <v>247</v>
      </c>
      <c r="C51" t="s">
        <v>274</v>
      </c>
      <c r="D51" t="s">
        <v>297</v>
      </c>
      <c r="E51">
        <f>+'Proposed Streams'!P31</f>
        <v>2090</v>
      </c>
      <c r="F51" s="12">
        <f t="shared" si="18"/>
        <v>2020.5</v>
      </c>
      <c r="H51" s="12">
        <v>2023</v>
      </c>
      <c r="I51" s="12">
        <f>ROUND('Proposed Streams'!U31,0)</f>
        <v>331</v>
      </c>
      <c r="J51" t="s">
        <v>188</v>
      </c>
      <c r="K51">
        <v>20</v>
      </c>
      <c r="L51">
        <v>108</v>
      </c>
      <c r="M51" s="21">
        <f t="shared" si="0"/>
        <v>12632.400000000001</v>
      </c>
      <c r="N51" s="21">
        <f t="shared" si="24"/>
        <v>12600</v>
      </c>
      <c r="O51" s="21">
        <f t="shared" si="2"/>
        <v>85.822606424167944</v>
      </c>
      <c r="P51" s="21">
        <f t="shared" si="22"/>
        <v>205.34435428571427</v>
      </c>
      <c r="Q51" s="21">
        <f t="shared" si="23"/>
        <v>102.67217714285714</v>
      </c>
      <c r="R51" s="12">
        <f t="shared" si="25"/>
        <v>117</v>
      </c>
      <c r="S51" s="12">
        <f t="shared" si="5"/>
        <v>116.66666666666667</v>
      </c>
      <c r="U51">
        <v>5</v>
      </c>
      <c r="V51">
        <v>5</v>
      </c>
      <c r="AA51" s="25">
        <f t="shared" si="9"/>
        <v>1.4999999999999999E-2</v>
      </c>
      <c r="AC51" t="s">
        <v>409</v>
      </c>
      <c r="AD51" t="s">
        <v>333</v>
      </c>
    </row>
    <row r="52" spans="1:30" x14ac:dyDescent="0.25">
      <c r="A52">
        <v>51</v>
      </c>
      <c r="B52" t="s">
        <v>248</v>
      </c>
      <c r="E52">
        <f>+'Proposed Streams'!P32</f>
        <v>2100</v>
      </c>
      <c r="F52" s="12">
        <f t="shared" si="18"/>
        <v>2024</v>
      </c>
      <c r="H52" s="12"/>
      <c r="I52" s="12">
        <f>ROUND('Proposed Streams'!U32,0)</f>
        <v>377</v>
      </c>
      <c r="J52" t="s">
        <v>188</v>
      </c>
      <c r="K52">
        <v>20</v>
      </c>
      <c r="L52">
        <v>113</v>
      </c>
      <c r="M52" s="21">
        <f t="shared" si="0"/>
        <v>14252.800000000001</v>
      </c>
      <c r="N52" s="21">
        <f t="shared" si="24"/>
        <v>14300</v>
      </c>
      <c r="O52" s="21">
        <f t="shared" si="2"/>
        <v>93.435074096057363</v>
      </c>
      <c r="P52" s="21">
        <f t="shared" si="22"/>
        <v>231.78830857142859</v>
      </c>
      <c r="Q52" s="21">
        <f t="shared" si="23"/>
        <v>115.89415428571429</v>
      </c>
      <c r="R52" s="12">
        <f t="shared" si="25"/>
        <v>126</v>
      </c>
      <c r="S52" s="12">
        <f t="shared" si="5"/>
        <v>126.54867256637168</v>
      </c>
      <c r="AA52" s="25">
        <f t="shared" si="9"/>
        <v>1.2999999999999999E-2</v>
      </c>
    </row>
    <row r="53" spans="1:30" x14ac:dyDescent="0.25">
      <c r="A53">
        <v>52</v>
      </c>
      <c r="B53" t="s">
        <v>249</v>
      </c>
      <c r="E53">
        <f>+'Proposed Streams'!P33</f>
        <v>2110</v>
      </c>
      <c r="F53" s="12">
        <f t="shared" si="18"/>
        <v>2027.5</v>
      </c>
      <c r="H53" s="12"/>
      <c r="I53" s="12">
        <f>ROUND('Proposed Streams'!U33,0)</f>
        <v>429</v>
      </c>
      <c r="J53" t="s">
        <v>188</v>
      </c>
      <c r="K53">
        <v>20</v>
      </c>
      <c r="L53">
        <v>119</v>
      </c>
      <c r="M53" s="21">
        <f t="shared" si="0"/>
        <v>16093.6</v>
      </c>
      <c r="N53" s="21">
        <f t="shared" si="24"/>
        <v>16100</v>
      </c>
      <c r="O53" s="21">
        <f t="shared" si="2"/>
        <v>100.30110655320021</v>
      </c>
      <c r="P53" s="21">
        <f t="shared" si="22"/>
        <v>261.68147428571433</v>
      </c>
      <c r="Q53" s="21">
        <f t="shared" si="23"/>
        <v>130.84073714285717</v>
      </c>
      <c r="R53" s="12">
        <f t="shared" si="25"/>
        <v>135</v>
      </c>
      <c r="S53" s="12">
        <f t="shared" si="5"/>
        <v>135.29411764705881</v>
      </c>
      <c r="AA53" s="25">
        <f t="shared" si="9"/>
        <v>1.2E-2</v>
      </c>
    </row>
    <row r="54" spans="1:30" x14ac:dyDescent="0.25">
      <c r="A54">
        <v>53</v>
      </c>
      <c r="B54" t="s">
        <v>250</v>
      </c>
      <c r="C54" t="s">
        <v>274</v>
      </c>
      <c r="D54" t="s">
        <v>311</v>
      </c>
      <c r="E54">
        <f>+'Proposed Streams'!P34</f>
        <v>2120</v>
      </c>
      <c r="F54" s="12">
        <f t="shared" si="18"/>
        <v>2031</v>
      </c>
      <c r="H54" s="12">
        <v>2031</v>
      </c>
      <c r="I54" s="12">
        <f>ROUND('Proposed Streams'!U34,0)</f>
        <v>488</v>
      </c>
      <c r="J54" t="s">
        <v>188</v>
      </c>
      <c r="K54">
        <v>20</v>
      </c>
      <c r="L54">
        <v>126</v>
      </c>
      <c r="M54" s="21">
        <f t="shared" si="0"/>
        <v>18187.2</v>
      </c>
      <c r="N54" s="21">
        <f t="shared" si="24"/>
        <v>18200</v>
      </c>
      <c r="O54" s="21">
        <f t="shared" si="2"/>
        <v>105.856109137532</v>
      </c>
      <c r="P54" s="21">
        <f t="shared" si="22"/>
        <v>295.59872000000001</v>
      </c>
      <c r="Q54" s="21">
        <f t="shared" si="23"/>
        <v>147.79936000000001</v>
      </c>
      <c r="R54" s="12">
        <f t="shared" si="25"/>
        <v>144</v>
      </c>
      <c r="S54" s="12">
        <f t="shared" si="5"/>
        <v>144.44444444444446</v>
      </c>
      <c r="AA54" s="25">
        <f t="shared" si="9"/>
        <v>0.01</v>
      </c>
      <c r="AC54" t="s">
        <v>428</v>
      </c>
      <c r="AD54" t="s">
        <v>433</v>
      </c>
    </row>
    <row r="55" spans="1:30" x14ac:dyDescent="0.25">
      <c r="A55">
        <v>54</v>
      </c>
      <c r="B55" t="s">
        <v>251</v>
      </c>
      <c r="C55" t="s">
        <v>267</v>
      </c>
      <c r="D55" t="s">
        <v>264</v>
      </c>
      <c r="E55">
        <f>+'Proposed Streams'!P35</f>
        <v>2130</v>
      </c>
      <c r="F55" s="12">
        <f t="shared" si="18"/>
        <v>2034.5</v>
      </c>
      <c r="H55" s="12"/>
      <c r="I55" s="12">
        <f>ROUND('Proposed Streams'!U35,0)</f>
        <v>556</v>
      </c>
      <c r="J55" t="s">
        <v>188</v>
      </c>
      <c r="K55">
        <v>20</v>
      </c>
      <c r="L55">
        <v>135</v>
      </c>
      <c r="M55" s="21">
        <f t="shared" si="0"/>
        <v>20624.400000000001</v>
      </c>
      <c r="N55" s="21">
        <f t="shared" si="24"/>
        <v>20600</v>
      </c>
      <c r="O55" s="21">
        <f t="shared" si="2"/>
        <v>109.31084706932927</v>
      </c>
      <c r="P55" s="21">
        <f t="shared" si="22"/>
        <v>334.68978285714286</v>
      </c>
      <c r="Q55" s="21">
        <f t="shared" si="23"/>
        <v>167.34489142857143</v>
      </c>
      <c r="R55" s="12">
        <f t="shared" si="25"/>
        <v>153</v>
      </c>
      <c r="S55" s="12">
        <f t="shared" si="5"/>
        <v>152.59259259259258</v>
      </c>
      <c r="AA55" s="25">
        <f t="shared" si="9"/>
        <v>8.9999999999999993E-3</v>
      </c>
    </row>
    <row r="56" spans="1:30" x14ac:dyDescent="0.25">
      <c r="A56">
        <v>55</v>
      </c>
      <c r="B56" t="s">
        <v>252</v>
      </c>
      <c r="C56" t="s">
        <v>266</v>
      </c>
      <c r="D56" t="s">
        <v>260</v>
      </c>
      <c r="E56">
        <f>+'Proposed Streams'!P36</f>
        <v>2140</v>
      </c>
      <c r="F56" s="12">
        <f t="shared" si="18"/>
        <v>2038</v>
      </c>
      <c r="H56" s="12">
        <v>2038</v>
      </c>
      <c r="I56" s="12">
        <f>ROUND('Proposed Streams'!U36,0)</f>
        <v>632</v>
      </c>
      <c r="J56" t="s">
        <v>188</v>
      </c>
      <c r="K56">
        <v>20</v>
      </c>
      <c r="L56">
        <v>144</v>
      </c>
      <c r="M56" s="21">
        <f t="shared" si="0"/>
        <v>23320.800000000003</v>
      </c>
      <c r="N56" s="21">
        <f t="shared" si="24"/>
        <v>23300</v>
      </c>
      <c r="O56" s="21">
        <f t="shared" si="2"/>
        <v>109.43662069513567</v>
      </c>
      <c r="P56" s="21">
        <f t="shared" si="22"/>
        <v>378.37979428571424</v>
      </c>
      <c r="Q56" s="21">
        <f t="shared" si="23"/>
        <v>189.18989714285712</v>
      </c>
      <c r="R56" s="12">
        <f t="shared" si="25"/>
        <v>162</v>
      </c>
      <c r="S56" s="12">
        <f t="shared" si="5"/>
        <v>161.80555555555554</v>
      </c>
      <c r="AA56" s="25">
        <f t="shared" si="9"/>
        <v>8.0000000000000002E-3</v>
      </c>
      <c r="AC56" t="s">
        <v>437</v>
      </c>
      <c r="AD56" t="s">
        <v>438</v>
      </c>
    </row>
    <row r="57" spans="1:30" x14ac:dyDescent="0.25">
      <c r="A57">
        <v>56</v>
      </c>
      <c r="B57" t="s">
        <v>253</v>
      </c>
      <c r="C57" t="s">
        <v>266</v>
      </c>
      <c r="D57" t="s">
        <v>258</v>
      </c>
      <c r="E57">
        <f>+'Proposed Streams'!P37</f>
        <v>2150</v>
      </c>
      <c r="F57" s="12">
        <f t="shared" si="18"/>
        <v>2041.5</v>
      </c>
      <c r="H57" s="12">
        <v>2041</v>
      </c>
      <c r="I57" s="12">
        <f>ROUND('Proposed Streams'!U37,0)</f>
        <v>720</v>
      </c>
      <c r="J57" t="s">
        <v>188</v>
      </c>
      <c r="K57">
        <v>30</v>
      </c>
      <c r="L57">
        <v>155</v>
      </c>
      <c r="M57" s="21">
        <f t="shared" si="0"/>
        <v>26458</v>
      </c>
      <c r="N57" s="21">
        <f t="shared" si="24"/>
        <v>26500</v>
      </c>
      <c r="O57" s="21">
        <f t="shared" si="2"/>
        <v>104.65632573476702</v>
      </c>
      <c r="P57" s="21">
        <f t="shared" si="22"/>
        <v>456.01394285714287</v>
      </c>
      <c r="Q57" s="21">
        <f t="shared" si="23"/>
        <v>228.00697142857143</v>
      </c>
      <c r="R57" s="12">
        <f t="shared" si="25"/>
        <v>171</v>
      </c>
      <c r="S57" s="12">
        <f t="shared" si="5"/>
        <v>170.96774193548387</v>
      </c>
      <c r="AA57" s="25">
        <f t="shared" si="9"/>
        <v>7.0000000000000001E-3</v>
      </c>
      <c r="AC57" t="s">
        <v>434</v>
      </c>
      <c r="AD57" t="s">
        <v>431</v>
      </c>
    </row>
    <row r="58" spans="1:30" x14ac:dyDescent="0.25">
      <c r="A58">
        <v>57</v>
      </c>
      <c r="B58" t="s">
        <v>254</v>
      </c>
      <c r="C58" t="s">
        <v>266</v>
      </c>
      <c r="D58" t="s">
        <v>255</v>
      </c>
      <c r="E58">
        <f>+'Proposed Streams'!P38</f>
        <v>2160</v>
      </c>
      <c r="F58">
        <v>2045</v>
      </c>
      <c r="H58">
        <v>2045</v>
      </c>
      <c r="I58" s="12">
        <f>ROUND('Proposed Streams'!U38,0)</f>
        <v>756</v>
      </c>
      <c r="J58" t="s">
        <v>188</v>
      </c>
      <c r="K58">
        <v>30</v>
      </c>
      <c r="L58">
        <v>153</v>
      </c>
      <c r="M58" s="21">
        <f t="shared" si="0"/>
        <v>27572.400000000001</v>
      </c>
      <c r="N58" s="21">
        <f t="shared" si="24"/>
        <v>27600</v>
      </c>
      <c r="O58" s="21">
        <f t="shared" si="2"/>
        <v>101.17709886656428</v>
      </c>
      <c r="P58" s="21">
        <f t="shared" si="22"/>
        <v>476.70921142857145</v>
      </c>
      <c r="Q58" s="21">
        <f t="shared" si="23"/>
        <v>238.35460571428573</v>
      </c>
      <c r="R58" s="21">
        <v>180</v>
      </c>
      <c r="S58" s="12">
        <f t="shared" si="5"/>
        <v>180.39215686274511</v>
      </c>
      <c r="AA58" s="25">
        <f t="shared" si="9"/>
        <v>7.0000000000000001E-3</v>
      </c>
      <c r="AC58" t="s">
        <v>430</v>
      </c>
      <c r="AD58" t="s">
        <v>429</v>
      </c>
    </row>
    <row r="62" spans="1:30" x14ac:dyDescent="0.25">
      <c r="D62" t="s">
        <v>298</v>
      </c>
    </row>
    <row r="63" spans="1:30" x14ac:dyDescent="0.25">
      <c r="D63" t="s">
        <v>299</v>
      </c>
    </row>
    <row r="64" spans="1:30" x14ac:dyDescent="0.25">
      <c r="D64" t="s">
        <v>300</v>
      </c>
    </row>
    <row r="65" spans="4:4" x14ac:dyDescent="0.25">
      <c r="D65" t="s">
        <v>301</v>
      </c>
    </row>
    <row r="66" spans="4:4" x14ac:dyDescent="0.25">
      <c r="D66" t="s">
        <v>302</v>
      </c>
    </row>
    <row r="67" spans="4:4" x14ac:dyDescent="0.25">
      <c r="D67" t="s">
        <v>303</v>
      </c>
    </row>
    <row r="68" spans="4:4" x14ac:dyDescent="0.25">
      <c r="D68" t="s">
        <v>304</v>
      </c>
    </row>
    <row r="69" spans="4:4" x14ac:dyDescent="0.25">
      <c r="D69" t="s">
        <v>305</v>
      </c>
    </row>
    <row r="70" spans="4:4" x14ac:dyDescent="0.25">
      <c r="D70" t="s">
        <v>306</v>
      </c>
    </row>
    <row r="71" spans="4:4" x14ac:dyDescent="0.25">
      <c r="D71" t="s">
        <v>307</v>
      </c>
    </row>
    <row r="72" spans="4:4" x14ac:dyDescent="0.25">
      <c r="D72" t="s">
        <v>308</v>
      </c>
    </row>
    <row r="73" spans="4:4" x14ac:dyDescent="0.25">
      <c r="D73" t="s">
        <v>310</v>
      </c>
    </row>
    <row r="74" spans="4:4" x14ac:dyDescent="0.25">
      <c r="D74" t="s">
        <v>312</v>
      </c>
    </row>
    <row r="75" spans="4:4" x14ac:dyDescent="0.25">
      <c r="D75" t="s">
        <v>400</v>
      </c>
    </row>
    <row r="76" spans="4:4" x14ac:dyDescent="0.25">
      <c r="D76" t="s">
        <v>401</v>
      </c>
    </row>
    <row r="77" spans="4:4" x14ac:dyDescent="0.25">
      <c r="D77" t="s">
        <v>402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77"/>
  <sheetViews>
    <sheetView tabSelected="1" workbookViewId="0">
      <pane xSplit="5" ySplit="1" topLeftCell="F2" activePane="bottomRight" state="frozen"/>
      <selection pane="topRight" activeCell="E1" sqref="E1"/>
      <selection pane="bottomLeft" activeCell="A2" sqref="A2"/>
      <selection pane="bottomRight" activeCell="J50" sqref="J50"/>
    </sheetView>
  </sheetViews>
  <sheetFormatPr defaultRowHeight="15" x14ac:dyDescent="0.25"/>
  <cols>
    <col min="3" max="4" width="13.140625" customWidth="1"/>
    <col min="5" max="5" width="16.85546875" bestFit="1" customWidth="1"/>
    <col min="6" max="6" width="12.7109375" customWidth="1"/>
    <col min="7" max="7" width="12.7109375" hidden="1" customWidth="1"/>
    <col min="8" max="8" width="12.7109375" customWidth="1"/>
    <col min="9" max="9" width="12.7109375" hidden="1" customWidth="1"/>
    <col min="10" max="10" width="16.28515625" customWidth="1"/>
    <col min="11" max="28" width="9.140625" customWidth="1"/>
    <col min="31" max="31" width="32" bestFit="1" customWidth="1"/>
  </cols>
  <sheetData>
    <row r="1" spans="1:32" s="17" customFormat="1" ht="45" x14ac:dyDescent="0.25">
      <c r="B1" s="17" t="s">
        <v>446</v>
      </c>
      <c r="C1" s="17" t="s">
        <v>190</v>
      </c>
      <c r="D1" s="17" t="s">
        <v>261</v>
      </c>
      <c r="E1" s="17" t="s">
        <v>191</v>
      </c>
      <c r="F1" s="18" t="s">
        <v>232</v>
      </c>
      <c r="G1" s="18" t="s">
        <v>193</v>
      </c>
      <c r="H1" s="18" t="s">
        <v>453</v>
      </c>
      <c r="I1" s="18" t="s">
        <v>265</v>
      </c>
      <c r="J1" s="18" t="s">
        <v>194</v>
      </c>
      <c r="K1" s="17" t="s">
        <v>209</v>
      </c>
      <c r="L1" s="17" t="s">
        <v>373</v>
      </c>
      <c r="M1" s="17" t="s">
        <v>4</v>
      </c>
      <c r="N1" s="17" t="s">
        <v>374</v>
      </c>
      <c r="O1" s="17" t="s">
        <v>5</v>
      </c>
      <c r="P1" s="17" t="s">
        <v>375</v>
      </c>
      <c r="Q1" s="17" t="s">
        <v>376</v>
      </c>
      <c r="R1" s="17" t="s">
        <v>180</v>
      </c>
      <c r="S1" s="17" t="s">
        <v>379</v>
      </c>
      <c r="T1" s="17" t="s">
        <v>378</v>
      </c>
      <c r="V1" s="17" t="s">
        <v>381</v>
      </c>
      <c r="W1" s="17" t="s">
        <v>405</v>
      </c>
      <c r="X1" s="17" t="s">
        <v>382</v>
      </c>
      <c r="Y1" s="17" t="s">
        <v>383</v>
      </c>
      <c r="Z1" s="17" t="s">
        <v>406</v>
      </c>
      <c r="AA1" s="17" t="s">
        <v>407</v>
      </c>
      <c r="AB1" s="17" t="s">
        <v>408</v>
      </c>
      <c r="AD1" s="17" t="s">
        <v>334</v>
      </c>
      <c r="AE1" s="17" t="s">
        <v>316</v>
      </c>
      <c r="AF1" s="17" t="s">
        <v>282</v>
      </c>
    </row>
    <row r="2" spans="1:32" x14ac:dyDescent="0.25">
      <c r="A2">
        <v>1</v>
      </c>
      <c r="B2">
        <v>1</v>
      </c>
      <c r="C2" t="s">
        <v>195</v>
      </c>
      <c r="D2" s="19" t="s">
        <v>412</v>
      </c>
      <c r="E2" t="s">
        <v>380</v>
      </c>
      <c r="F2">
        <f>+'Proposed Streams'!P5</f>
        <v>1830</v>
      </c>
      <c r="H2" s="12">
        <f>+(B2-1)/23*(2046-1947)+1947</f>
        <v>1947</v>
      </c>
      <c r="J2" s="12">
        <f>+EXP(0.03157*H2 - 58.01)</f>
        <v>31.715007767453049</v>
      </c>
      <c r="K2" t="s">
        <v>184</v>
      </c>
      <c r="L2">
        <v>12</v>
      </c>
      <c r="M2">
        <v>6</v>
      </c>
      <c r="N2" s="21">
        <f>-900+26*M2+20*J2*1.62-J2*1.62*L2*IF(K2="Diesel",1,0)-28*M2*IF(K2="Steam",1,0)</f>
        <v>115.56625166547883</v>
      </c>
      <c r="O2" s="21">
        <f>+ROUND(N2*1,-1)</f>
        <v>120</v>
      </c>
      <c r="P2" s="21">
        <f>MAX((-13530 + 294.5 *J2*1.62 -0.1524 * (J2*1.62) ^ 2 - 3.544 * O2 * IF(K2="Diesel",1,0))/1171.8, 1)</f>
        <v>1.0228862013817337</v>
      </c>
      <c r="Q2" s="21">
        <f>( -1366 + 94.66 * L2 + 12.42 * (J2*1.62) - 0.01212 * (J2*1.62) ^ 2)/16.4</f>
        <v>22.929579421764554</v>
      </c>
      <c r="R2" s="21">
        <f>+Q2</f>
        <v>22.929579421764554</v>
      </c>
      <c r="S2" s="21">
        <v>5</v>
      </c>
      <c r="T2" s="12">
        <f>+O2/M2</f>
        <v>20</v>
      </c>
      <c r="V2">
        <v>4</v>
      </c>
      <c r="W2">
        <v>2</v>
      </c>
      <c r="X2">
        <f>+M2/V2</f>
        <v>1.5</v>
      </c>
      <c r="Y2" t="str">
        <f>+IF(X2&lt;10,"A",IF(X2&lt;20,"B",IF(X2&lt;30,"C",IF(X2&lt;40,"D","E"))))</f>
        <v>A</v>
      </c>
      <c r="Z2">
        <v>0.2</v>
      </c>
      <c r="AA2">
        <f>+Z2*(W2/V2)</f>
        <v>0.1</v>
      </c>
      <c r="AB2" s="25">
        <f>ROUND(MAX(8/(J2*1.62),0.004),3)</f>
        <v>0.156</v>
      </c>
      <c r="AD2" t="s">
        <v>414</v>
      </c>
      <c r="AE2" t="s">
        <v>413</v>
      </c>
      <c r="AF2" t="s">
        <v>315</v>
      </c>
    </row>
    <row r="3" spans="1:32" x14ac:dyDescent="0.25">
      <c r="A3">
        <v>2</v>
      </c>
      <c r="C3" t="s">
        <v>196</v>
      </c>
      <c r="F3">
        <f>+'Proposed Streams'!P6</f>
        <v>1840</v>
      </c>
      <c r="H3" s="12"/>
      <c r="J3" s="12"/>
      <c r="K3" t="s">
        <v>184</v>
      </c>
      <c r="L3">
        <v>15</v>
      </c>
      <c r="N3" s="21"/>
      <c r="O3" s="21"/>
      <c r="P3" s="21"/>
      <c r="Q3" s="21"/>
      <c r="R3" s="21"/>
      <c r="S3" s="12"/>
      <c r="T3" s="12"/>
      <c r="X3" t="e">
        <f t="shared" ref="X3:X37" si="0">+M3/V3</f>
        <v>#DIV/0!</v>
      </c>
      <c r="Y3" t="e">
        <f t="shared" ref="Y3:Y37" si="1">+IF(X3&lt;10,"A",IF(X3&lt;20,"B",IF(X3&lt;30,"C",IF(X3&lt;40,"D","E"))))</f>
        <v>#DIV/0!</v>
      </c>
      <c r="Z3">
        <v>0.2</v>
      </c>
      <c r="AA3" t="e">
        <f t="shared" ref="AA3:AA47" si="2">+Z3*(W3/V3)</f>
        <v>#DIV/0!</v>
      </c>
      <c r="AB3" s="25" t="e">
        <f t="shared" ref="AB3:AB58" si="3">ROUND(MAX(8/(J3*1.62),0.004),3)</f>
        <v>#DIV/0!</v>
      </c>
      <c r="AE3" t="s">
        <v>425</v>
      </c>
    </row>
    <row r="4" spans="1:32" x14ac:dyDescent="0.25">
      <c r="A4">
        <v>3</v>
      </c>
      <c r="C4" t="s">
        <v>197</v>
      </c>
      <c r="F4">
        <f>+'Proposed Streams'!P7</f>
        <v>1850</v>
      </c>
      <c r="H4" s="12"/>
      <c r="J4" s="12"/>
      <c r="K4" t="s">
        <v>184</v>
      </c>
      <c r="L4">
        <v>20</v>
      </c>
      <c r="N4" s="21"/>
      <c r="O4" s="21"/>
      <c r="P4" s="21"/>
      <c r="Q4" s="21"/>
      <c r="R4" s="21"/>
      <c r="S4" s="12"/>
      <c r="T4" s="12"/>
      <c r="X4" t="e">
        <f t="shared" si="0"/>
        <v>#DIV/0!</v>
      </c>
      <c r="Y4" t="e">
        <f t="shared" si="1"/>
        <v>#DIV/0!</v>
      </c>
      <c r="Z4">
        <v>0.2</v>
      </c>
      <c r="AA4" t="e">
        <f t="shared" si="2"/>
        <v>#DIV/0!</v>
      </c>
      <c r="AB4" s="25" t="e">
        <f t="shared" si="3"/>
        <v>#DIV/0!</v>
      </c>
    </row>
    <row r="5" spans="1:32" x14ac:dyDescent="0.25">
      <c r="A5">
        <v>4</v>
      </c>
      <c r="B5">
        <v>2</v>
      </c>
      <c r="C5" t="s">
        <v>198</v>
      </c>
      <c r="D5" s="19" t="s">
        <v>272</v>
      </c>
      <c r="E5" s="20" t="s">
        <v>284</v>
      </c>
      <c r="F5">
        <f>+'Proposed Streams'!P8</f>
        <v>1860</v>
      </c>
      <c r="G5">
        <v>1940</v>
      </c>
      <c r="H5" s="12">
        <f>+(B5-1)/23*(2046-1947)+1947</f>
        <v>1951.304347826087</v>
      </c>
      <c r="I5">
        <v>1940</v>
      </c>
      <c r="J5" s="12">
        <f t="shared" ref="J3:J58" si="4">+EXP(0.03157*H5 - 58.01)</f>
        <v>36.331250305256809</v>
      </c>
      <c r="K5" t="s">
        <v>184</v>
      </c>
      <c r="L5">
        <v>20</v>
      </c>
      <c r="M5">
        <v>34</v>
      </c>
      <c r="N5" s="21">
        <f t="shared" ref="N3:N58" si="5">-900+26*M5+20*J5*1.62-J5*1.62*L5*IF(K5="Diesel",1,0)-28*M5*IF(K5="Steam",1,0)</f>
        <v>209.13250989032076</v>
      </c>
      <c r="O5" s="21">
        <f t="shared" ref="O3:O15" si="6">+ROUND(N5*1,-1)</f>
        <v>210</v>
      </c>
      <c r="P5" s="21">
        <f t="shared" ref="P3:P58" si="7">MAX((-13530 + 294.5 *J5*1.62 -0.1524 * (J5*1.62) ^ 2 - 3.544 * O5 * IF(K5="Diesel",1,0))/1171.8, 1)</f>
        <v>2.7951416690302704</v>
      </c>
      <c r="Q5" s="21">
        <f t="shared" ref="Q3:Q15" si="8">( -1366 + 94.66 * L5 + 12.42 * (J5*1.62) - 0.01212 * (J5*1.62) ^ 2)/16.4</f>
        <v>74.159412681885144</v>
      </c>
      <c r="R5" s="21">
        <f t="shared" ref="R3:R24" si="9">+Q5</f>
        <v>74.159412681885144</v>
      </c>
      <c r="S5" s="12">
        <f t="shared" ref="S4:S14" si="10">+(S$15-S$2)/(A$15-A$2)*(A5-A$2)+S$2</f>
        <v>6.1538461538461542</v>
      </c>
      <c r="T5" s="12">
        <f t="shared" ref="T3:T58" si="11">+O5/M5</f>
        <v>6.1764705882352944</v>
      </c>
      <c r="V5">
        <v>8</v>
      </c>
      <c r="W5">
        <v>4</v>
      </c>
      <c r="X5">
        <f t="shared" si="0"/>
        <v>4.25</v>
      </c>
      <c r="Y5" t="str">
        <f t="shared" si="1"/>
        <v>A</v>
      </c>
      <c r="Z5">
        <v>0.2</v>
      </c>
      <c r="AA5">
        <f t="shared" si="2"/>
        <v>0.1</v>
      </c>
      <c r="AB5" s="25">
        <f t="shared" si="3"/>
        <v>0.13600000000000001</v>
      </c>
      <c r="AD5" t="s">
        <v>432</v>
      </c>
      <c r="AE5" t="s">
        <v>427</v>
      </c>
      <c r="AF5" t="s">
        <v>283</v>
      </c>
    </row>
    <row r="6" spans="1:32" x14ac:dyDescent="0.25">
      <c r="A6">
        <v>5</v>
      </c>
      <c r="C6" t="s">
        <v>199</v>
      </c>
      <c r="F6">
        <f>+'Proposed Streams'!P9</f>
        <v>1870</v>
      </c>
      <c r="G6" s="12">
        <f t="shared" ref="G6:G57" si="12">+(F6-F$5)/(F$58-F$5)*(G$58-G$5)+G$5</f>
        <v>1943.5</v>
      </c>
      <c r="H6" s="12"/>
      <c r="I6" s="12"/>
      <c r="J6" s="12"/>
      <c r="K6" t="s">
        <v>184</v>
      </c>
      <c r="L6">
        <v>20</v>
      </c>
      <c r="N6" s="21"/>
      <c r="O6" s="21"/>
      <c r="P6" s="21"/>
      <c r="Q6" s="21"/>
      <c r="R6" s="21"/>
      <c r="S6" s="12"/>
      <c r="T6" s="12"/>
      <c r="X6" t="e">
        <f t="shared" si="0"/>
        <v>#DIV/0!</v>
      </c>
      <c r="Y6" t="e">
        <f t="shared" si="1"/>
        <v>#DIV/0!</v>
      </c>
      <c r="Z6">
        <v>0.2</v>
      </c>
      <c r="AA6" t="e">
        <f t="shared" si="2"/>
        <v>#DIV/0!</v>
      </c>
      <c r="AB6" s="25" t="e">
        <f t="shared" si="3"/>
        <v>#DIV/0!</v>
      </c>
    </row>
    <row r="7" spans="1:32" x14ac:dyDescent="0.25">
      <c r="A7">
        <v>6</v>
      </c>
      <c r="C7" t="s">
        <v>200</v>
      </c>
      <c r="D7" s="20" t="s">
        <v>272</v>
      </c>
      <c r="E7" t="s">
        <v>292</v>
      </c>
      <c r="F7">
        <f>+'Proposed Streams'!P10</f>
        <v>1880</v>
      </c>
      <c r="G7" s="12">
        <f t="shared" si="12"/>
        <v>1947</v>
      </c>
      <c r="H7" s="12"/>
      <c r="I7" s="12"/>
      <c r="J7" s="12"/>
      <c r="K7" t="s">
        <v>184</v>
      </c>
      <c r="L7">
        <v>20</v>
      </c>
      <c r="N7" s="21"/>
      <c r="O7" s="21"/>
      <c r="P7" s="21"/>
      <c r="Q7" s="21"/>
      <c r="R7" s="21"/>
      <c r="S7" s="12"/>
      <c r="T7" s="12"/>
      <c r="V7">
        <v>8</v>
      </c>
      <c r="W7">
        <v>4</v>
      </c>
      <c r="X7">
        <f t="shared" si="0"/>
        <v>0</v>
      </c>
      <c r="Y7" t="str">
        <f t="shared" si="1"/>
        <v>A</v>
      </c>
      <c r="Z7">
        <v>0.2</v>
      </c>
      <c r="AA7">
        <f t="shared" si="2"/>
        <v>0.1</v>
      </c>
      <c r="AB7" s="25" t="e">
        <f t="shared" si="3"/>
        <v>#DIV/0!</v>
      </c>
    </row>
    <row r="8" spans="1:32" x14ac:dyDescent="0.25">
      <c r="A8">
        <v>7</v>
      </c>
      <c r="B8">
        <v>3</v>
      </c>
      <c r="C8" t="s">
        <v>201</v>
      </c>
      <c r="D8" s="20" t="s">
        <v>285</v>
      </c>
      <c r="E8" s="19" t="s">
        <v>314</v>
      </c>
      <c r="F8">
        <f>+'Proposed Streams'!P11</f>
        <v>1890</v>
      </c>
      <c r="G8" s="12">
        <f t="shared" si="12"/>
        <v>1950.5</v>
      </c>
      <c r="H8" s="12">
        <f>+(B8-1)/23*(2046-1947)+1947</f>
        <v>1955.608695652174</v>
      </c>
      <c r="I8" s="12">
        <v>1950</v>
      </c>
      <c r="J8" s="12">
        <f t="shared" si="4"/>
        <v>41.619404870454325</v>
      </c>
      <c r="K8" t="s">
        <v>184</v>
      </c>
      <c r="L8">
        <v>20</v>
      </c>
      <c r="M8">
        <v>48</v>
      </c>
      <c r="N8" s="21">
        <f t="shared" si="5"/>
        <v>352.46871780272022</v>
      </c>
      <c r="O8" s="21">
        <f t="shared" si="6"/>
        <v>350</v>
      </c>
      <c r="P8" s="21">
        <f t="shared" si="7"/>
        <v>4.8074788413236105</v>
      </c>
      <c r="Q8" s="21">
        <f t="shared" si="8"/>
        <v>79.847715055112559</v>
      </c>
      <c r="R8" s="21">
        <f t="shared" si="9"/>
        <v>79.847715055112559</v>
      </c>
      <c r="S8" s="12">
        <f t="shared" si="10"/>
        <v>7.3076923076923084</v>
      </c>
      <c r="T8" s="12">
        <f t="shared" si="11"/>
        <v>7.291666666666667</v>
      </c>
      <c r="V8">
        <v>10</v>
      </c>
      <c r="W8">
        <v>6</v>
      </c>
      <c r="X8">
        <f t="shared" si="0"/>
        <v>4.8</v>
      </c>
      <c r="Y8" t="str">
        <f t="shared" si="1"/>
        <v>A</v>
      </c>
      <c r="Z8">
        <v>0.25</v>
      </c>
      <c r="AA8">
        <f t="shared" si="2"/>
        <v>0.15</v>
      </c>
      <c r="AB8" s="25">
        <f t="shared" si="3"/>
        <v>0.11899999999999999</v>
      </c>
      <c r="AD8" t="s">
        <v>409</v>
      </c>
      <c r="AE8" t="s">
        <v>318</v>
      </c>
      <c r="AF8" t="s">
        <v>286</v>
      </c>
    </row>
    <row r="9" spans="1:32" x14ac:dyDescent="0.25">
      <c r="A9">
        <v>8</v>
      </c>
      <c r="C9" t="s">
        <v>202</v>
      </c>
      <c r="D9" t="s">
        <v>273</v>
      </c>
      <c r="E9" s="19" t="s">
        <v>287</v>
      </c>
      <c r="F9">
        <f>+'Proposed Streams'!P12</f>
        <v>1900</v>
      </c>
      <c r="G9" s="12">
        <f t="shared" si="12"/>
        <v>1954</v>
      </c>
      <c r="H9" s="12"/>
      <c r="I9" s="12"/>
      <c r="J9" s="12"/>
      <c r="K9" t="s">
        <v>184</v>
      </c>
      <c r="L9">
        <v>20</v>
      </c>
      <c r="N9" s="21"/>
      <c r="O9" s="21"/>
      <c r="P9" s="21"/>
      <c r="Q9" s="21"/>
      <c r="R9" s="21"/>
      <c r="S9" s="12"/>
      <c r="T9" s="12"/>
      <c r="V9">
        <v>10</v>
      </c>
      <c r="W9">
        <v>8</v>
      </c>
      <c r="X9">
        <f t="shared" si="0"/>
        <v>0</v>
      </c>
      <c r="Y9" t="str">
        <f t="shared" si="1"/>
        <v>A</v>
      </c>
      <c r="Z9">
        <v>0.2</v>
      </c>
      <c r="AA9">
        <f t="shared" si="2"/>
        <v>0.16000000000000003</v>
      </c>
      <c r="AB9" s="25" t="e">
        <f t="shared" si="3"/>
        <v>#DIV/0!</v>
      </c>
      <c r="AE9" t="s">
        <v>322</v>
      </c>
    </row>
    <row r="10" spans="1:32" x14ac:dyDescent="0.25">
      <c r="A10">
        <v>9</v>
      </c>
      <c r="C10" t="s">
        <v>203</v>
      </c>
      <c r="F10">
        <f>+'Proposed Streams'!P13</f>
        <v>1910</v>
      </c>
      <c r="G10" s="12">
        <f t="shared" si="12"/>
        <v>1957.5</v>
      </c>
      <c r="H10" s="12"/>
      <c r="I10" s="12"/>
      <c r="J10" s="12"/>
      <c r="K10" t="s">
        <v>184</v>
      </c>
      <c r="L10">
        <v>20</v>
      </c>
      <c r="N10" s="21"/>
      <c r="O10" s="21"/>
      <c r="P10" s="21"/>
      <c r="Q10" s="21"/>
      <c r="R10" s="21"/>
      <c r="S10" s="12"/>
      <c r="T10" s="12"/>
      <c r="X10" t="e">
        <f t="shared" si="0"/>
        <v>#DIV/0!</v>
      </c>
      <c r="Y10" t="e">
        <f t="shared" si="1"/>
        <v>#DIV/0!</v>
      </c>
      <c r="Z10">
        <v>0.2</v>
      </c>
      <c r="AA10" t="e">
        <f t="shared" si="2"/>
        <v>#DIV/0!</v>
      </c>
      <c r="AB10" s="25" t="e">
        <f t="shared" si="3"/>
        <v>#DIV/0!</v>
      </c>
    </row>
    <row r="11" spans="1:32" x14ac:dyDescent="0.25">
      <c r="A11">
        <v>10</v>
      </c>
      <c r="B11">
        <v>4</v>
      </c>
      <c r="C11" t="s">
        <v>204</v>
      </c>
      <c r="D11" t="s">
        <v>273</v>
      </c>
      <c r="E11" s="20" t="s">
        <v>324</v>
      </c>
      <c r="F11">
        <f>+'Proposed Streams'!P14</f>
        <v>1920</v>
      </c>
      <c r="G11" s="12">
        <f t="shared" si="12"/>
        <v>1961</v>
      </c>
      <c r="H11" s="12">
        <f t="shared" ref="H10:H11" si="13">+(B11-1)/23*(2046-1947)+1947</f>
        <v>1959.9130434782608</v>
      </c>
      <c r="I11" s="12">
        <v>1961</v>
      </c>
      <c r="J11" s="12">
        <f t="shared" si="4"/>
        <v>47.677270867833094</v>
      </c>
      <c r="K11" t="s">
        <v>184</v>
      </c>
      <c r="L11">
        <v>20</v>
      </c>
      <c r="M11">
        <v>61</v>
      </c>
      <c r="N11" s="21">
        <f t="shared" si="5"/>
        <v>522.74357611779214</v>
      </c>
      <c r="O11" s="21">
        <f t="shared" si="6"/>
        <v>520</v>
      </c>
      <c r="P11" s="21">
        <f t="shared" si="7"/>
        <v>7.0892596804529813</v>
      </c>
      <c r="Q11" s="21">
        <f t="shared" si="8"/>
        <v>86.230665211929647</v>
      </c>
      <c r="R11" s="21">
        <f t="shared" si="9"/>
        <v>86.230665211929647</v>
      </c>
      <c r="S11" s="12">
        <f t="shared" si="10"/>
        <v>8.4615384615384617</v>
      </c>
      <c r="T11" s="12">
        <f t="shared" si="11"/>
        <v>8.5245901639344268</v>
      </c>
      <c r="V11">
        <v>12</v>
      </c>
      <c r="W11">
        <v>6</v>
      </c>
      <c r="X11">
        <f t="shared" si="0"/>
        <v>5.083333333333333</v>
      </c>
      <c r="Y11" t="str">
        <f t="shared" si="1"/>
        <v>A</v>
      </c>
      <c r="Z11">
        <v>0.2</v>
      </c>
      <c r="AA11" s="24">
        <f t="shared" si="2"/>
        <v>0.1</v>
      </c>
      <c r="AB11" s="25">
        <f t="shared" si="3"/>
        <v>0.104</v>
      </c>
      <c r="AD11" t="s">
        <v>409</v>
      </c>
      <c r="AE11" t="s">
        <v>323</v>
      </c>
    </row>
    <row r="12" spans="1:32" x14ac:dyDescent="0.25">
      <c r="A12">
        <v>11</v>
      </c>
      <c r="C12" t="s">
        <v>205</v>
      </c>
      <c r="F12">
        <f>+'Proposed Streams'!P15</f>
        <v>1930</v>
      </c>
      <c r="G12" s="12">
        <f t="shared" si="12"/>
        <v>1964.5</v>
      </c>
      <c r="H12" s="12"/>
      <c r="I12" s="12"/>
      <c r="J12" s="12"/>
      <c r="K12" t="s">
        <v>184</v>
      </c>
      <c r="L12">
        <v>20</v>
      </c>
      <c r="N12" s="21"/>
      <c r="O12" s="21"/>
      <c r="P12" s="21"/>
      <c r="Q12" s="21"/>
      <c r="R12" s="21"/>
      <c r="S12" s="12"/>
      <c r="T12" s="12"/>
      <c r="X12" t="e">
        <f t="shared" si="0"/>
        <v>#DIV/0!</v>
      </c>
      <c r="Y12" t="e">
        <f t="shared" si="1"/>
        <v>#DIV/0!</v>
      </c>
      <c r="Z12">
        <v>0.2</v>
      </c>
      <c r="AA12" t="e">
        <f t="shared" si="2"/>
        <v>#DIV/0!</v>
      </c>
      <c r="AB12" s="25" t="e">
        <f t="shared" si="3"/>
        <v>#DIV/0!</v>
      </c>
    </row>
    <row r="13" spans="1:32" x14ac:dyDescent="0.25">
      <c r="A13">
        <v>12</v>
      </c>
      <c r="C13" t="s">
        <v>206</v>
      </c>
      <c r="F13">
        <f>+'Proposed Streams'!P16</f>
        <v>1940</v>
      </c>
      <c r="G13" s="12">
        <f t="shared" si="12"/>
        <v>1968</v>
      </c>
      <c r="H13" s="12"/>
      <c r="I13" s="12"/>
      <c r="J13" s="12"/>
      <c r="K13" t="s">
        <v>184</v>
      </c>
      <c r="L13">
        <v>20</v>
      </c>
      <c r="N13" s="21"/>
      <c r="O13" s="21"/>
      <c r="P13" s="21"/>
      <c r="Q13" s="21"/>
      <c r="R13" s="21"/>
      <c r="S13" s="12"/>
      <c r="T13" s="12"/>
      <c r="X13" t="e">
        <f t="shared" si="0"/>
        <v>#DIV/0!</v>
      </c>
      <c r="Y13" t="e">
        <f t="shared" si="1"/>
        <v>#DIV/0!</v>
      </c>
      <c r="Z13">
        <v>0.2</v>
      </c>
      <c r="AA13" t="e">
        <f t="shared" si="2"/>
        <v>#DIV/0!</v>
      </c>
      <c r="AB13" s="25" t="e">
        <f t="shared" si="3"/>
        <v>#DIV/0!</v>
      </c>
      <c r="AE13" t="s">
        <v>426</v>
      </c>
    </row>
    <row r="14" spans="1:32" x14ac:dyDescent="0.25">
      <c r="A14">
        <v>13</v>
      </c>
      <c r="B14">
        <v>5</v>
      </c>
      <c r="C14" t="s">
        <v>207</v>
      </c>
      <c r="D14" t="s">
        <v>270</v>
      </c>
      <c r="E14" t="s">
        <v>384</v>
      </c>
      <c r="F14">
        <f>+'Proposed Streams'!P17</f>
        <v>1950</v>
      </c>
      <c r="G14" s="12">
        <f t="shared" si="12"/>
        <v>1971.5</v>
      </c>
      <c r="H14" s="12">
        <f>+(B14-1)/23*(2046-1947)+1947</f>
        <v>1964.2173913043478</v>
      </c>
      <c r="I14" s="12">
        <v>1971</v>
      </c>
      <c r="J14" s="12">
        <f t="shared" si="4"/>
        <v>54.616882785328706</v>
      </c>
      <c r="K14" t="s">
        <v>184</v>
      </c>
      <c r="L14">
        <v>25</v>
      </c>
      <c r="M14">
        <v>75</v>
      </c>
      <c r="N14" s="21">
        <f t="shared" si="5"/>
        <v>719.58700224465065</v>
      </c>
      <c r="O14" s="21">
        <f t="shared" si="6"/>
        <v>720</v>
      </c>
      <c r="P14" s="21">
        <f t="shared" si="7"/>
        <v>9.6723764035321249</v>
      </c>
      <c r="Q14" s="21">
        <f t="shared" si="8"/>
        <v>122.22749708481572</v>
      </c>
      <c r="R14" s="21">
        <f t="shared" si="9"/>
        <v>122.22749708481572</v>
      </c>
      <c r="S14" s="12">
        <f t="shared" si="10"/>
        <v>9.6153846153846168</v>
      </c>
      <c r="T14" s="12">
        <f t="shared" si="11"/>
        <v>9.6</v>
      </c>
      <c r="V14">
        <v>12</v>
      </c>
      <c r="W14">
        <v>6</v>
      </c>
      <c r="X14">
        <f t="shared" si="0"/>
        <v>6.25</v>
      </c>
      <c r="Y14" t="str">
        <f t="shared" si="1"/>
        <v>A</v>
      </c>
      <c r="Z14">
        <v>0.2</v>
      </c>
      <c r="AA14">
        <f t="shared" si="2"/>
        <v>0.1</v>
      </c>
      <c r="AB14" s="25">
        <f t="shared" si="3"/>
        <v>0.09</v>
      </c>
      <c r="AD14" t="s">
        <v>409</v>
      </c>
      <c r="AE14" t="s">
        <v>317</v>
      </c>
    </row>
    <row r="15" spans="1:32" x14ac:dyDescent="0.25">
      <c r="A15">
        <v>14</v>
      </c>
      <c r="C15" t="s">
        <v>208</v>
      </c>
      <c r="F15">
        <f>+'Proposed Streams'!P18</f>
        <v>1960</v>
      </c>
      <c r="G15" s="12">
        <f t="shared" si="12"/>
        <v>1975</v>
      </c>
      <c r="H15" s="12"/>
      <c r="I15" s="12"/>
      <c r="J15" s="12"/>
      <c r="K15" t="s">
        <v>184</v>
      </c>
      <c r="L15">
        <v>30</v>
      </c>
      <c r="M15">
        <v>243</v>
      </c>
      <c r="N15" s="21"/>
      <c r="O15" s="21"/>
      <c r="P15" s="21"/>
      <c r="Q15" s="21"/>
      <c r="R15" s="21"/>
      <c r="S15" s="21">
        <v>10</v>
      </c>
      <c r="T15" s="12"/>
      <c r="X15" t="e">
        <f t="shared" si="0"/>
        <v>#DIV/0!</v>
      </c>
      <c r="Y15" t="e">
        <f t="shared" si="1"/>
        <v>#DIV/0!</v>
      </c>
      <c r="Z15">
        <v>0.2</v>
      </c>
      <c r="AA15" t="e">
        <f t="shared" si="2"/>
        <v>#DIV/0!</v>
      </c>
      <c r="AB15" s="25" t="e">
        <f t="shared" si="3"/>
        <v>#DIV/0!</v>
      </c>
    </row>
    <row r="16" spans="1:32" x14ac:dyDescent="0.25">
      <c r="A16">
        <v>15</v>
      </c>
      <c r="C16" t="s">
        <v>210</v>
      </c>
      <c r="F16">
        <f>+'Proposed Streams'!P15</f>
        <v>1930</v>
      </c>
      <c r="G16" s="12">
        <f t="shared" si="12"/>
        <v>1964.5</v>
      </c>
      <c r="H16" s="12"/>
      <c r="I16" s="12"/>
      <c r="J16" s="12"/>
      <c r="K16" t="s">
        <v>185</v>
      </c>
      <c r="L16">
        <v>15</v>
      </c>
      <c r="M16">
        <v>30</v>
      </c>
      <c r="N16" s="21"/>
      <c r="O16" s="21"/>
      <c r="P16" s="21"/>
      <c r="Q16" s="21"/>
      <c r="R16" s="21"/>
      <c r="S16" s="21">
        <v>15</v>
      </c>
      <c r="T16" s="12"/>
      <c r="X16" t="e">
        <f t="shared" si="0"/>
        <v>#DIV/0!</v>
      </c>
      <c r="Y16" t="e">
        <f t="shared" si="1"/>
        <v>#DIV/0!</v>
      </c>
      <c r="Z16">
        <v>0.3</v>
      </c>
      <c r="AA16" t="e">
        <f t="shared" si="2"/>
        <v>#DIV/0!</v>
      </c>
      <c r="AB16" s="25" t="e">
        <f t="shared" si="3"/>
        <v>#DIV/0!</v>
      </c>
    </row>
    <row r="17" spans="1:31" x14ac:dyDescent="0.25">
      <c r="A17">
        <v>16</v>
      </c>
      <c r="C17" t="s">
        <v>211</v>
      </c>
      <c r="F17">
        <f>+'Proposed Streams'!P16</f>
        <v>1940</v>
      </c>
      <c r="G17" s="12">
        <f t="shared" si="12"/>
        <v>1968</v>
      </c>
      <c r="H17" s="12"/>
      <c r="I17" s="12"/>
      <c r="J17" s="12"/>
      <c r="K17" t="s">
        <v>185</v>
      </c>
      <c r="L17">
        <v>18</v>
      </c>
      <c r="N17" s="21"/>
      <c r="O17" s="21"/>
      <c r="P17" s="21"/>
      <c r="Q17" s="21"/>
      <c r="R17" s="21"/>
      <c r="S17" s="12"/>
      <c r="T17" s="12"/>
      <c r="X17" t="e">
        <f t="shared" si="0"/>
        <v>#DIV/0!</v>
      </c>
      <c r="Y17" t="e">
        <f t="shared" si="1"/>
        <v>#DIV/0!</v>
      </c>
      <c r="Z17">
        <v>0.3</v>
      </c>
      <c r="AA17" t="e">
        <f t="shared" si="2"/>
        <v>#DIV/0!</v>
      </c>
      <c r="AB17" s="25" t="e">
        <f t="shared" si="3"/>
        <v>#DIV/0!</v>
      </c>
    </row>
    <row r="18" spans="1:31" x14ac:dyDescent="0.25">
      <c r="A18">
        <v>17</v>
      </c>
      <c r="B18">
        <v>6</v>
      </c>
      <c r="C18" t="s">
        <v>212</v>
      </c>
      <c r="D18" t="s">
        <v>267</v>
      </c>
      <c r="E18" t="s">
        <v>268</v>
      </c>
      <c r="F18">
        <f>+'Proposed Streams'!P17</f>
        <v>1950</v>
      </c>
      <c r="G18" s="12">
        <f t="shared" si="12"/>
        <v>1971.5</v>
      </c>
      <c r="H18" s="12">
        <f>+(B18-1)/23*(2046-1947)+1947</f>
        <v>1968.5217391304348</v>
      </c>
      <c r="I18" s="12">
        <v>1970</v>
      </c>
      <c r="J18" s="12">
        <f t="shared" si="4"/>
        <v>62.56658216565264</v>
      </c>
      <c r="K18" t="s">
        <v>185</v>
      </c>
      <c r="L18">
        <v>19</v>
      </c>
      <c r="M18">
        <v>112</v>
      </c>
      <c r="N18" s="21">
        <f t="shared" si="5"/>
        <v>2113.3578631083574</v>
      </c>
      <c r="O18" s="21">
        <f t="shared" ref="O16:O48" si="14">+ROUND(N18,-1)</f>
        <v>2110</v>
      </c>
      <c r="P18" s="21">
        <f t="shared" si="7"/>
        <v>6.2095767400017117</v>
      </c>
      <c r="Q18" s="21">
        <f t="shared" ref="Q17:Q23" si="15">( -1366 + 94.66 * L18 + 12.42 * (J18*1.62) - 0.01212 * (J18*1.62) ^ 2)/15.23</f>
        <v>102.88186821204336</v>
      </c>
      <c r="R18" s="21">
        <f t="shared" si="9"/>
        <v>102.88186821204336</v>
      </c>
      <c r="S18" s="12">
        <f t="shared" ref="S18:S23" si="16">+(S$24-S$16)/(A$24-A$16)*(A18-A$16)+S$16</f>
        <v>18.75</v>
      </c>
      <c r="T18" s="12">
        <f t="shared" si="11"/>
        <v>18.839285714285715</v>
      </c>
      <c r="V18">
        <v>4</v>
      </c>
      <c r="W18">
        <v>4</v>
      </c>
      <c r="X18">
        <f t="shared" si="0"/>
        <v>28</v>
      </c>
      <c r="Y18" t="str">
        <f t="shared" si="1"/>
        <v>C</v>
      </c>
      <c r="Z18">
        <v>0.3</v>
      </c>
      <c r="AA18">
        <f t="shared" si="2"/>
        <v>0.3</v>
      </c>
      <c r="AB18" s="25">
        <f t="shared" si="3"/>
        <v>7.9000000000000001E-2</v>
      </c>
      <c r="AD18" t="s">
        <v>409</v>
      </c>
      <c r="AE18" t="s">
        <v>327</v>
      </c>
    </row>
    <row r="19" spans="1:31" x14ac:dyDescent="0.25">
      <c r="A19">
        <v>18</v>
      </c>
      <c r="C19" t="s">
        <v>213</v>
      </c>
      <c r="F19">
        <f>+'Proposed Streams'!P18</f>
        <v>1960</v>
      </c>
      <c r="G19" s="12">
        <f t="shared" si="12"/>
        <v>1975</v>
      </c>
      <c r="H19" s="12"/>
      <c r="I19" s="12"/>
      <c r="J19" s="12"/>
      <c r="K19" t="s">
        <v>185</v>
      </c>
      <c r="L19">
        <v>19</v>
      </c>
      <c r="N19" s="21"/>
      <c r="O19" s="21"/>
      <c r="P19" s="21"/>
      <c r="Q19" s="21"/>
      <c r="R19" s="21"/>
      <c r="S19" s="12"/>
      <c r="T19" s="12"/>
      <c r="X19" t="e">
        <f t="shared" si="0"/>
        <v>#DIV/0!</v>
      </c>
      <c r="Y19" t="e">
        <f t="shared" si="1"/>
        <v>#DIV/0!</v>
      </c>
      <c r="Z19">
        <v>0.3</v>
      </c>
      <c r="AA19" t="e">
        <f t="shared" si="2"/>
        <v>#DIV/0!</v>
      </c>
      <c r="AB19" s="25" t="e">
        <f t="shared" si="3"/>
        <v>#DIV/0!</v>
      </c>
    </row>
    <row r="20" spans="1:31" x14ac:dyDescent="0.25">
      <c r="A20">
        <v>19</v>
      </c>
      <c r="B20">
        <v>7</v>
      </c>
      <c r="C20" t="s">
        <v>214</v>
      </c>
      <c r="D20" t="s">
        <v>267</v>
      </c>
      <c r="E20" t="s">
        <v>269</v>
      </c>
      <c r="F20">
        <f>+'Proposed Streams'!P19</f>
        <v>1970</v>
      </c>
      <c r="G20" s="12">
        <f t="shared" si="12"/>
        <v>1978.5</v>
      </c>
      <c r="H20" s="12">
        <f>+(B20-1)/23*(2046-1947)+1947</f>
        <v>1972.8260869565217</v>
      </c>
      <c r="I20" s="12">
        <v>1979</v>
      </c>
      <c r="J20" s="12">
        <f t="shared" si="4"/>
        <v>71.673391161439127</v>
      </c>
      <c r="K20" t="s">
        <v>185</v>
      </c>
      <c r="L20">
        <v>18</v>
      </c>
      <c r="M20">
        <v>189</v>
      </c>
      <c r="N20" s="21">
        <f t="shared" si="5"/>
        <v>4246.2217873630625</v>
      </c>
      <c r="O20" s="21">
        <f t="shared" si="14"/>
        <v>4250</v>
      </c>
      <c r="P20" s="21">
        <f t="shared" si="7"/>
        <v>3.0278554952779984</v>
      </c>
      <c r="Q20" s="21">
        <f t="shared" si="15"/>
        <v>106.14436081356207</v>
      </c>
      <c r="R20" s="21">
        <f t="shared" si="9"/>
        <v>106.14436081356207</v>
      </c>
      <c r="S20" s="12">
        <f t="shared" si="16"/>
        <v>22.5</v>
      </c>
      <c r="T20" s="12">
        <f t="shared" si="11"/>
        <v>22.486772486772487</v>
      </c>
      <c r="V20">
        <v>4</v>
      </c>
      <c r="W20">
        <v>4</v>
      </c>
      <c r="X20">
        <f t="shared" si="0"/>
        <v>47.25</v>
      </c>
      <c r="Y20" t="str">
        <f t="shared" si="1"/>
        <v>E</v>
      </c>
      <c r="Z20">
        <v>0.3</v>
      </c>
      <c r="AA20">
        <f t="shared" si="2"/>
        <v>0.3</v>
      </c>
      <c r="AB20" s="25">
        <f t="shared" si="3"/>
        <v>6.9000000000000006E-2</v>
      </c>
      <c r="AD20" t="s">
        <v>409</v>
      </c>
      <c r="AE20" t="s">
        <v>326</v>
      </c>
    </row>
    <row r="21" spans="1:31" x14ac:dyDescent="0.25">
      <c r="A21">
        <v>20</v>
      </c>
      <c r="C21" t="s">
        <v>215</v>
      </c>
      <c r="F21">
        <f>+'Proposed Streams'!P20</f>
        <v>1980</v>
      </c>
      <c r="G21" s="12">
        <f t="shared" si="12"/>
        <v>1982</v>
      </c>
      <c r="H21" s="12"/>
      <c r="I21" s="12"/>
      <c r="J21" s="12"/>
      <c r="K21" t="s">
        <v>185</v>
      </c>
      <c r="L21">
        <v>17</v>
      </c>
      <c r="N21" s="21"/>
      <c r="O21" s="21"/>
      <c r="P21" s="21"/>
      <c r="Q21" s="21"/>
      <c r="R21" s="21"/>
      <c r="S21" s="12"/>
      <c r="T21" s="12"/>
      <c r="X21" t="e">
        <f t="shared" si="0"/>
        <v>#DIV/0!</v>
      </c>
      <c r="Y21" t="e">
        <f t="shared" si="1"/>
        <v>#DIV/0!</v>
      </c>
      <c r="Z21">
        <v>0.3</v>
      </c>
      <c r="AA21" t="e">
        <f t="shared" si="2"/>
        <v>#DIV/0!</v>
      </c>
      <c r="AB21" s="25" t="e">
        <f t="shared" si="3"/>
        <v>#DIV/0!</v>
      </c>
    </row>
    <row r="22" spans="1:31" x14ac:dyDescent="0.25">
      <c r="A22">
        <v>21</v>
      </c>
      <c r="C22" t="s">
        <v>216</v>
      </c>
      <c r="F22">
        <f>+'Proposed Streams'!P21</f>
        <v>1990</v>
      </c>
      <c r="G22" s="12">
        <f t="shared" si="12"/>
        <v>1985.5</v>
      </c>
      <c r="H22" s="12"/>
      <c r="I22" s="12"/>
      <c r="J22" s="12"/>
      <c r="K22" t="s">
        <v>185</v>
      </c>
      <c r="L22">
        <v>16</v>
      </c>
      <c r="N22" s="21"/>
      <c r="O22" s="21"/>
      <c r="P22" s="21"/>
      <c r="Q22" s="21"/>
      <c r="R22" s="21"/>
      <c r="S22" s="12"/>
      <c r="T22" s="12"/>
      <c r="X22" t="e">
        <f t="shared" si="0"/>
        <v>#DIV/0!</v>
      </c>
      <c r="Y22" t="e">
        <f t="shared" si="1"/>
        <v>#DIV/0!</v>
      </c>
      <c r="Z22">
        <v>0.3</v>
      </c>
      <c r="AA22" t="e">
        <f t="shared" si="2"/>
        <v>#DIV/0!</v>
      </c>
      <c r="AB22" s="25" t="e">
        <f t="shared" si="3"/>
        <v>#DIV/0!</v>
      </c>
    </row>
    <row r="23" spans="1:31" x14ac:dyDescent="0.25">
      <c r="A23">
        <v>22</v>
      </c>
      <c r="B23">
        <v>8</v>
      </c>
      <c r="C23" t="s">
        <v>217</v>
      </c>
      <c r="D23" t="s">
        <v>273</v>
      </c>
      <c r="E23" t="s">
        <v>294</v>
      </c>
      <c r="F23">
        <f>+'Proposed Streams'!P22</f>
        <v>2000</v>
      </c>
      <c r="G23" s="12">
        <f t="shared" si="12"/>
        <v>1989</v>
      </c>
      <c r="H23" s="12">
        <f>+(B23-1)/23*(2046-1947)+1947</f>
        <v>1977.1304347826087</v>
      </c>
      <c r="I23" s="12">
        <v>1989</v>
      </c>
      <c r="J23" s="12">
        <f t="shared" si="4"/>
        <v>82.105731570563151</v>
      </c>
      <c r="K23" t="s">
        <v>185</v>
      </c>
      <c r="L23">
        <v>14</v>
      </c>
      <c r="M23">
        <v>315</v>
      </c>
      <c r="N23" s="21">
        <f t="shared" si="5"/>
        <v>8088.0677108658729</v>
      </c>
      <c r="O23" s="21">
        <f t="shared" si="14"/>
        <v>8090</v>
      </c>
      <c r="P23" s="21">
        <f t="shared" si="7"/>
        <v>1</v>
      </c>
      <c r="Q23" s="21">
        <f t="shared" si="15"/>
        <v>91.714582898645517</v>
      </c>
      <c r="R23" s="21">
        <f t="shared" si="9"/>
        <v>91.714582898645517</v>
      </c>
      <c r="S23" s="12">
        <f t="shared" si="16"/>
        <v>28.125</v>
      </c>
      <c r="T23" s="12">
        <f t="shared" si="11"/>
        <v>25.682539682539684</v>
      </c>
      <c r="V23">
        <v>6</v>
      </c>
      <c r="W23">
        <v>6</v>
      </c>
      <c r="X23">
        <f t="shared" si="0"/>
        <v>52.5</v>
      </c>
      <c r="Y23" t="str">
        <f t="shared" si="1"/>
        <v>E</v>
      </c>
      <c r="Z23">
        <v>0.3</v>
      </c>
      <c r="AA23">
        <f t="shared" si="2"/>
        <v>0.3</v>
      </c>
      <c r="AB23" s="25">
        <f t="shared" si="3"/>
        <v>0.06</v>
      </c>
      <c r="AD23" t="s">
        <v>409</v>
      </c>
      <c r="AE23" t="s">
        <v>325</v>
      </c>
    </row>
    <row r="24" spans="1:31" x14ac:dyDescent="0.25">
      <c r="A24">
        <v>23</v>
      </c>
      <c r="C24" t="s">
        <v>218</v>
      </c>
      <c r="D24" t="s">
        <v>291</v>
      </c>
      <c r="E24" t="s">
        <v>313</v>
      </c>
      <c r="F24">
        <f>+'Proposed Streams'!P23</f>
        <v>2010</v>
      </c>
      <c r="G24" s="12">
        <f t="shared" si="12"/>
        <v>1992.5</v>
      </c>
      <c r="H24" s="12"/>
      <c r="I24" s="12"/>
      <c r="J24" s="12"/>
      <c r="K24" t="s">
        <v>185</v>
      </c>
      <c r="L24">
        <v>13</v>
      </c>
      <c r="M24">
        <v>197</v>
      </c>
      <c r="N24" s="21"/>
      <c r="O24" s="21"/>
      <c r="P24" s="21"/>
      <c r="Q24" s="21"/>
      <c r="R24" s="21"/>
      <c r="S24" s="21">
        <v>30</v>
      </c>
      <c r="T24" s="12"/>
      <c r="X24" t="e">
        <f t="shared" si="0"/>
        <v>#DIV/0!</v>
      </c>
      <c r="Y24" t="e">
        <f t="shared" si="1"/>
        <v>#DIV/0!</v>
      </c>
      <c r="Z24">
        <v>0.3</v>
      </c>
      <c r="AA24" t="e">
        <f t="shared" si="2"/>
        <v>#DIV/0!</v>
      </c>
      <c r="AB24" s="25" t="e">
        <f t="shared" si="3"/>
        <v>#DIV/0!</v>
      </c>
    </row>
    <row r="25" spans="1:31" x14ac:dyDescent="0.25">
      <c r="A25">
        <v>24</v>
      </c>
      <c r="B25">
        <v>9</v>
      </c>
      <c r="C25" t="s">
        <v>219</v>
      </c>
      <c r="D25" t="s">
        <v>274</v>
      </c>
      <c r="E25" t="s">
        <v>293</v>
      </c>
      <c r="F25">
        <f>+'Proposed Streams'!P15</f>
        <v>1930</v>
      </c>
      <c r="G25" s="12">
        <f t="shared" si="12"/>
        <v>1964.5</v>
      </c>
      <c r="H25" s="12">
        <f>+(B25-1)/23*(2046-1947)+1947</f>
        <v>1981.4347826086957</v>
      </c>
      <c r="I25" s="12">
        <v>1964</v>
      </c>
      <c r="J25" s="12">
        <f t="shared" si="4"/>
        <v>94.056539637604345</v>
      </c>
      <c r="K25" t="s">
        <v>186</v>
      </c>
      <c r="L25">
        <v>12</v>
      </c>
      <c r="M25">
        <v>153</v>
      </c>
      <c r="N25" s="21">
        <f t="shared" si="5"/>
        <v>6125.4318842583816</v>
      </c>
      <c r="O25" s="21">
        <f t="shared" si="14"/>
        <v>6130</v>
      </c>
      <c r="P25" s="21">
        <f t="shared" si="7"/>
        <v>23.728578290426285</v>
      </c>
      <c r="Q25" s="21">
        <f>( -1366 + 94.66 * L25 + 12.42 * (J25*1.62) - 0.01212 * (J25*1.62) ^ 2)/14</f>
        <v>98.641708222989891</v>
      </c>
      <c r="R25" s="21">
        <f>+Q25/2</f>
        <v>49.320854111494945</v>
      </c>
      <c r="S25" s="21">
        <v>40</v>
      </c>
      <c r="T25" s="12">
        <f t="shared" si="11"/>
        <v>40.065359477124183</v>
      </c>
      <c r="V25">
        <v>4</v>
      </c>
      <c r="W25">
        <v>4</v>
      </c>
      <c r="X25">
        <f t="shared" si="0"/>
        <v>38.25</v>
      </c>
      <c r="Y25" t="str">
        <f t="shared" si="1"/>
        <v>D</v>
      </c>
      <c r="Z25">
        <v>0.35</v>
      </c>
      <c r="AA25">
        <f t="shared" si="2"/>
        <v>0.35</v>
      </c>
      <c r="AB25" s="25">
        <f t="shared" si="3"/>
        <v>5.2999999999999999E-2</v>
      </c>
      <c r="AD25" t="s">
        <v>409</v>
      </c>
      <c r="AE25" t="s">
        <v>328</v>
      </c>
    </row>
    <row r="26" spans="1:31" x14ac:dyDescent="0.25">
      <c r="A26">
        <v>25</v>
      </c>
      <c r="C26" t="s">
        <v>220</v>
      </c>
      <c r="F26">
        <f>+'Proposed Streams'!P16</f>
        <v>1940</v>
      </c>
      <c r="G26" s="12">
        <f t="shared" si="12"/>
        <v>1968</v>
      </c>
      <c r="H26" s="12"/>
      <c r="I26" s="12"/>
      <c r="J26" s="12"/>
      <c r="K26" t="s">
        <v>186</v>
      </c>
      <c r="L26">
        <v>15</v>
      </c>
      <c r="N26" s="21"/>
      <c r="O26" s="21"/>
      <c r="P26" s="21"/>
      <c r="Q26" s="21"/>
      <c r="R26" s="21"/>
      <c r="S26" s="12"/>
      <c r="T26" s="12"/>
      <c r="X26" t="e">
        <f t="shared" si="0"/>
        <v>#DIV/0!</v>
      </c>
      <c r="Y26" t="e">
        <f t="shared" si="1"/>
        <v>#DIV/0!</v>
      </c>
      <c r="Z26">
        <v>0.35</v>
      </c>
      <c r="AA26" t="e">
        <f t="shared" si="2"/>
        <v>#DIV/0!</v>
      </c>
      <c r="AB26" s="25" t="e">
        <f t="shared" si="3"/>
        <v>#DIV/0!</v>
      </c>
    </row>
    <row r="27" spans="1:31" x14ac:dyDescent="0.25">
      <c r="A27">
        <v>26</v>
      </c>
      <c r="C27" t="s">
        <v>221</v>
      </c>
      <c r="F27">
        <f>+'Proposed Streams'!P17</f>
        <v>1950</v>
      </c>
      <c r="G27" s="12">
        <f t="shared" si="12"/>
        <v>1971.5</v>
      </c>
      <c r="H27" s="12"/>
      <c r="I27" s="12"/>
      <c r="J27" s="12"/>
      <c r="K27" t="s">
        <v>186</v>
      </c>
      <c r="L27">
        <v>20</v>
      </c>
      <c r="N27" s="21"/>
      <c r="O27" s="21"/>
      <c r="P27" s="21"/>
      <c r="Q27" s="21"/>
      <c r="R27" s="21"/>
      <c r="S27" s="12"/>
      <c r="T27" s="12"/>
      <c r="X27" t="e">
        <f t="shared" si="0"/>
        <v>#DIV/0!</v>
      </c>
      <c r="Y27" t="e">
        <f t="shared" si="1"/>
        <v>#DIV/0!</v>
      </c>
      <c r="Z27">
        <v>0.35</v>
      </c>
      <c r="AA27" t="e">
        <f t="shared" si="2"/>
        <v>#DIV/0!</v>
      </c>
      <c r="AB27" s="25" t="e">
        <f t="shared" si="3"/>
        <v>#DIV/0!</v>
      </c>
    </row>
    <row r="28" spans="1:31" x14ac:dyDescent="0.25">
      <c r="A28">
        <v>27</v>
      </c>
      <c r="B28">
        <v>10</v>
      </c>
      <c r="C28" t="s">
        <v>222</v>
      </c>
      <c r="D28" t="s">
        <v>274</v>
      </c>
      <c r="E28" t="s">
        <v>275</v>
      </c>
      <c r="F28">
        <f>+'Proposed Streams'!P18</f>
        <v>1960</v>
      </c>
      <c r="G28" s="12">
        <f t="shared" si="12"/>
        <v>1975</v>
      </c>
      <c r="H28" s="12">
        <f>+(B28-1)/23*(2046-1947)+1947</f>
        <v>1985.7391304347825</v>
      </c>
      <c r="I28" s="12">
        <v>1975</v>
      </c>
      <c r="J28" s="12">
        <f t="shared" si="4"/>
        <v>107.74683422675741</v>
      </c>
      <c r="K28" t="s">
        <v>186</v>
      </c>
      <c r="L28">
        <v>20</v>
      </c>
      <c r="M28">
        <v>103</v>
      </c>
      <c r="N28" s="21">
        <f t="shared" si="5"/>
        <v>5268.997428946941</v>
      </c>
      <c r="O28" s="21">
        <f t="shared" si="14"/>
        <v>5270</v>
      </c>
      <c r="P28" s="21">
        <f t="shared" si="7"/>
        <v>28.359503430284526</v>
      </c>
      <c r="Q28" s="21">
        <f t="shared" ref="Q26:Q47" si="17">( -1366 + 94.66 * L28 + 12.42 * (J28*1.62) - 0.01212 * (J28*1.62) ^ 2)/14</f>
        <v>166.1315280709965</v>
      </c>
      <c r="R28" s="21">
        <f t="shared" ref="R26:R37" si="18">+Q28/2</f>
        <v>83.065764035498248</v>
      </c>
      <c r="S28" s="12">
        <f t="shared" ref="S27:S36" si="19">+(S$37-S$25)/(A$37-A$25)*(A28-A$25)+S$25</f>
        <v>51.25</v>
      </c>
      <c r="T28" s="12">
        <f t="shared" si="11"/>
        <v>51.165048543689323</v>
      </c>
      <c r="X28" t="e">
        <f t="shared" si="0"/>
        <v>#DIV/0!</v>
      </c>
      <c r="Y28" t="e">
        <f t="shared" si="1"/>
        <v>#DIV/0!</v>
      </c>
      <c r="Z28">
        <v>0.35</v>
      </c>
      <c r="AA28" t="e">
        <f t="shared" si="2"/>
        <v>#DIV/0!</v>
      </c>
      <c r="AB28" s="25">
        <f t="shared" si="3"/>
        <v>4.5999999999999999E-2</v>
      </c>
      <c r="AD28" t="s">
        <v>417</v>
      </c>
      <c r="AE28" t="s">
        <v>418</v>
      </c>
    </row>
    <row r="29" spans="1:31" x14ac:dyDescent="0.25">
      <c r="A29">
        <v>28</v>
      </c>
      <c r="C29" t="s">
        <v>223</v>
      </c>
      <c r="F29">
        <f>+'Proposed Streams'!P19</f>
        <v>1970</v>
      </c>
      <c r="G29" s="12">
        <f t="shared" si="12"/>
        <v>1978.5</v>
      </c>
      <c r="H29" s="12"/>
      <c r="I29" s="12"/>
      <c r="J29" s="12"/>
      <c r="K29" t="s">
        <v>186</v>
      </c>
      <c r="L29">
        <v>20</v>
      </c>
      <c r="N29" s="21"/>
      <c r="O29" s="21"/>
      <c r="P29" s="21"/>
      <c r="Q29" s="21"/>
      <c r="R29" s="21"/>
      <c r="S29" s="12"/>
      <c r="T29" s="12"/>
      <c r="X29" t="e">
        <f t="shared" si="0"/>
        <v>#DIV/0!</v>
      </c>
      <c r="Y29" t="e">
        <f t="shared" si="1"/>
        <v>#DIV/0!</v>
      </c>
      <c r="Z29">
        <v>0.35</v>
      </c>
      <c r="AA29" t="e">
        <f t="shared" si="2"/>
        <v>#DIV/0!</v>
      </c>
      <c r="AB29" s="25" t="e">
        <f t="shared" si="3"/>
        <v>#DIV/0!</v>
      </c>
    </row>
    <row r="30" spans="1:31" x14ac:dyDescent="0.25">
      <c r="A30">
        <v>29</v>
      </c>
      <c r="C30" t="s">
        <v>224</v>
      </c>
      <c r="F30">
        <f>+'Proposed Streams'!P20</f>
        <v>1980</v>
      </c>
      <c r="G30" s="12">
        <f t="shared" si="12"/>
        <v>1982</v>
      </c>
      <c r="H30" s="12"/>
      <c r="I30" s="12"/>
      <c r="J30" s="12"/>
      <c r="K30" t="s">
        <v>186</v>
      </c>
      <c r="L30">
        <v>20</v>
      </c>
      <c r="N30" s="21"/>
      <c r="O30" s="21"/>
      <c r="P30" s="21"/>
      <c r="Q30" s="21"/>
      <c r="R30" s="21"/>
      <c r="S30" s="12"/>
      <c r="T30" s="12"/>
      <c r="X30" t="e">
        <f t="shared" si="0"/>
        <v>#DIV/0!</v>
      </c>
      <c r="Y30" t="e">
        <f t="shared" si="1"/>
        <v>#DIV/0!</v>
      </c>
      <c r="Z30">
        <v>0.35</v>
      </c>
      <c r="AA30" t="e">
        <f t="shared" si="2"/>
        <v>#DIV/0!</v>
      </c>
      <c r="AB30" s="25" t="e">
        <f t="shared" si="3"/>
        <v>#DIV/0!</v>
      </c>
    </row>
    <row r="31" spans="1:31" x14ac:dyDescent="0.25">
      <c r="A31">
        <v>30</v>
      </c>
      <c r="B31">
        <v>11</v>
      </c>
      <c r="C31" t="s">
        <v>225</v>
      </c>
      <c r="D31" t="s">
        <v>270</v>
      </c>
      <c r="E31" t="s">
        <v>256</v>
      </c>
      <c r="F31">
        <f>+'Proposed Streams'!P21</f>
        <v>1990</v>
      </c>
      <c r="G31" s="12">
        <f t="shared" si="12"/>
        <v>1985.5</v>
      </c>
      <c r="H31" s="12">
        <f>+(B31-1)/23*(2046-1947)+1947</f>
        <v>1990.0434782608695</v>
      </c>
      <c r="I31" s="12">
        <v>1985</v>
      </c>
      <c r="J31" s="12">
        <f t="shared" si="4"/>
        <v>123.42980435617696</v>
      </c>
      <c r="K31" t="s">
        <v>186</v>
      </c>
      <c r="L31">
        <v>20</v>
      </c>
      <c r="M31">
        <v>85</v>
      </c>
      <c r="N31" s="21">
        <f t="shared" si="5"/>
        <v>5309.1256611401341</v>
      </c>
      <c r="O31" s="21">
        <f t="shared" si="14"/>
        <v>5310</v>
      </c>
      <c r="P31" s="21">
        <f t="shared" si="7"/>
        <v>33.507245309669628</v>
      </c>
      <c r="Q31" s="21">
        <f t="shared" si="17"/>
        <v>180.4334965817329</v>
      </c>
      <c r="R31" s="21">
        <f t="shared" si="18"/>
        <v>90.216748290866448</v>
      </c>
      <c r="S31" s="12">
        <f t="shared" si="19"/>
        <v>62.5</v>
      </c>
      <c r="T31" s="12">
        <f t="shared" si="11"/>
        <v>62.470588235294116</v>
      </c>
      <c r="X31" t="e">
        <f t="shared" si="0"/>
        <v>#DIV/0!</v>
      </c>
      <c r="Y31" t="e">
        <f t="shared" si="1"/>
        <v>#DIV/0!</v>
      </c>
      <c r="Z31">
        <v>0.35</v>
      </c>
      <c r="AA31" t="e">
        <f t="shared" si="2"/>
        <v>#DIV/0!</v>
      </c>
      <c r="AB31" s="25">
        <f t="shared" si="3"/>
        <v>0.04</v>
      </c>
      <c r="AD31" t="s">
        <v>420</v>
      </c>
      <c r="AE31" t="s">
        <v>419</v>
      </c>
    </row>
    <row r="32" spans="1:31" x14ac:dyDescent="0.25">
      <c r="A32">
        <v>31</v>
      </c>
      <c r="C32" t="s">
        <v>226</v>
      </c>
      <c r="F32">
        <f>+'Proposed Streams'!P22</f>
        <v>2000</v>
      </c>
      <c r="G32" s="12">
        <f t="shared" si="12"/>
        <v>1989</v>
      </c>
      <c r="H32" s="12"/>
      <c r="I32" s="12"/>
      <c r="J32" s="12"/>
      <c r="K32" t="s">
        <v>186</v>
      </c>
      <c r="L32">
        <v>20</v>
      </c>
      <c r="N32" s="21"/>
      <c r="O32" s="21"/>
      <c r="P32" s="21"/>
      <c r="Q32" s="21"/>
      <c r="R32" s="21"/>
      <c r="S32" s="12"/>
      <c r="T32" s="12"/>
      <c r="X32" t="e">
        <f t="shared" si="0"/>
        <v>#DIV/0!</v>
      </c>
      <c r="Y32" t="e">
        <f t="shared" si="1"/>
        <v>#DIV/0!</v>
      </c>
      <c r="Z32">
        <v>0.35</v>
      </c>
      <c r="AA32" t="e">
        <f t="shared" si="2"/>
        <v>#DIV/0!</v>
      </c>
      <c r="AB32" s="25" t="e">
        <f t="shared" si="3"/>
        <v>#DIV/0!</v>
      </c>
    </row>
    <row r="33" spans="1:31" x14ac:dyDescent="0.25">
      <c r="A33">
        <v>32</v>
      </c>
      <c r="C33" t="s">
        <v>227</v>
      </c>
      <c r="D33" t="s">
        <v>262</v>
      </c>
      <c r="E33" t="s">
        <v>278</v>
      </c>
      <c r="F33">
        <f>+'Proposed Streams'!P23</f>
        <v>2010</v>
      </c>
      <c r="G33" s="12">
        <f t="shared" si="12"/>
        <v>1992.5</v>
      </c>
      <c r="H33" s="12"/>
      <c r="I33" s="12"/>
      <c r="J33" s="12"/>
      <c r="K33" t="s">
        <v>186</v>
      </c>
      <c r="L33">
        <v>20</v>
      </c>
      <c r="N33" s="21"/>
      <c r="O33" s="21"/>
      <c r="P33" s="21"/>
      <c r="Q33" s="21"/>
      <c r="R33" s="21"/>
      <c r="S33" s="12"/>
      <c r="T33" s="12"/>
      <c r="X33" t="e">
        <f t="shared" si="0"/>
        <v>#DIV/0!</v>
      </c>
      <c r="Y33" t="e">
        <f t="shared" si="1"/>
        <v>#DIV/0!</v>
      </c>
      <c r="Z33">
        <v>0.35</v>
      </c>
      <c r="AA33" t="e">
        <f t="shared" si="2"/>
        <v>#DIV/0!</v>
      </c>
      <c r="AB33" s="25" t="e">
        <f t="shared" si="3"/>
        <v>#DIV/0!</v>
      </c>
    </row>
    <row r="34" spans="1:31" x14ac:dyDescent="0.25">
      <c r="A34">
        <v>33</v>
      </c>
      <c r="B34">
        <v>12</v>
      </c>
      <c r="C34" t="s">
        <v>228</v>
      </c>
      <c r="D34" t="s">
        <v>267</v>
      </c>
      <c r="E34" t="s">
        <v>277</v>
      </c>
      <c r="F34">
        <f>+'Proposed Streams'!P24</f>
        <v>2020</v>
      </c>
      <c r="G34" s="12">
        <f t="shared" si="12"/>
        <v>1996</v>
      </c>
      <c r="H34" s="12">
        <f>+(B34-1)/23*(2046-1947)+1947</f>
        <v>1994.3478260869565</v>
      </c>
      <c r="I34" s="12">
        <v>1996</v>
      </c>
      <c r="J34" s="12">
        <f t="shared" si="4"/>
        <v>141.39549168880023</v>
      </c>
      <c r="K34" t="s">
        <v>186</v>
      </c>
      <c r="L34">
        <v>20</v>
      </c>
      <c r="M34">
        <v>77</v>
      </c>
      <c r="N34" s="21">
        <f t="shared" si="5"/>
        <v>5683.2139307171283</v>
      </c>
      <c r="O34" s="21">
        <f t="shared" si="14"/>
        <v>5680</v>
      </c>
      <c r="P34" s="21">
        <f t="shared" si="7"/>
        <v>39.197925924826734</v>
      </c>
      <c r="Q34" s="21">
        <f t="shared" si="17"/>
        <v>195.44371159155261</v>
      </c>
      <c r="R34" s="21">
        <f t="shared" si="18"/>
        <v>97.721855795776307</v>
      </c>
      <c r="S34" s="12">
        <f t="shared" si="19"/>
        <v>73.75</v>
      </c>
      <c r="T34" s="12">
        <f t="shared" si="11"/>
        <v>73.766233766233768</v>
      </c>
      <c r="V34">
        <v>6</v>
      </c>
      <c r="W34">
        <v>6</v>
      </c>
      <c r="X34">
        <f t="shared" si="0"/>
        <v>12.833333333333334</v>
      </c>
      <c r="Y34" t="str">
        <f t="shared" si="1"/>
        <v>B</v>
      </c>
      <c r="Z34">
        <v>0.35</v>
      </c>
      <c r="AA34">
        <f t="shared" si="2"/>
        <v>0.35</v>
      </c>
      <c r="AB34" s="25">
        <f t="shared" si="3"/>
        <v>3.5000000000000003E-2</v>
      </c>
      <c r="AD34" t="s">
        <v>409</v>
      </c>
      <c r="AE34" t="s">
        <v>330</v>
      </c>
    </row>
    <row r="35" spans="1:31" x14ac:dyDescent="0.25">
      <c r="A35">
        <v>34</v>
      </c>
      <c r="C35" t="s">
        <v>229</v>
      </c>
      <c r="D35" t="s">
        <v>270</v>
      </c>
      <c r="E35" t="s">
        <v>257</v>
      </c>
      <c r="F35">
        <f>+'Proposed Streams'!P25</f>
        <v>2030</v>
      </c>
      <c r="G35" s="12">
        <f t="shared" si="12"/>
        <v>1999.5</v>
      </c>
      <c r="H35" s="12"/>
      <c r="I35" s="12"/>
      <c r="J35" s="12"/>
      <c r="K35" t="s">
        <v>186</v>
      </c>
      <c r="L35">
        <v>20</v>
      </c>
      <c r="N35" s="21"/>
      <c r="O35" s="21"/>
      <c r="P35" s="21"/>
      <c r="Q35" s="21"/>
      <c r="R35" s="21"/>
      <c r="S35" s="12"/>
      <c r="T35" s="12"/>
      <c r="X35" t="e">
        <f t="shared" si="0"/>
        <v>#DIV/0!</v>
      </c>
      <c r="Y35" t="e">
        <f t="shared" si="1"/>
        <v>#DIV/0!</v>
      </c>
      <c r="Z35">
        <v>0.35</v>
      </c>
      <c r="AA35" t="e">
        <f t="shared" si="2"/>
        <v>#DIV/0!</v>
      </c>
      <c r="AB35" s="25" t="e">
        <f t="shared" si="3"/>
        <v>#DIV/0!</v>
      </c>
    </row>
    <row r="36" spans="1:31" x14ac:dyDescent="0.25">
      <c r="A36">
        <v>35</v>
      </c>
      <c r="C36" t="s">
        <v>230</v>
      </c>
      <c r="F36">
        <f>+'Proposed Streams'!P26</f>
        <v>2040</v>
      </c>
      <c r="G36" s="12">
        <f t="shared" si="12"/>
        <v>2003</v>
      </c>
      <c r="H36" s="12"/>
      <c r="I36" s="12"/>
      <c r="J36" s="12"/>
      <c r="K36" t="s">
        <v>186</v>
      </c>
      <c r="L36">
        <v>20</v>
      </c>
      <c r="N36" s="21"/>
      <c r="O36" s="21"/>
      <c r="P36" s="21"/>
      <c r="Q36" s="21"/>
      <c r="R36" s="21"/>
      <c r="S36" s="12"/>
      <c r="T36" s="12"/>
      <c r="X36" t="e">
        <f t="shared" si="0"/>
        <v>#DIV/0!</v>
      </c>
      <c r="Y36" t="e">
        <f t="shared" si="1"/>
        <v>#DIV/0!</v>
      </c>
      <c r="Z36">
        <v>0.35</v>
      </c>
      <c r="AA36" t="e">
        <f t="shared" si="2"/>
        <v>#DIV/0!</v>
      </c>
      <c r="AB36" s="25" t="e">
        <f t="shared" si="3"/>
        <v>#DIV/0!</v>
      </c>
    </row>
    <row r="37" spans="1:31" x14ac:dyDescent="0.25">
      <c r="A37">
        <v>36</v>
      </c>
      <c r="B37">
        <v>13</v>
      </c>
      <c r="C37" t="s">
        <v>231</v>
      </c>
      <c r="D37" t="s">
        <v>274</v>
      </c>
      <c r="E37" t="s">
        <v>276</v>
      </c>
      <c r="F37">
        <f>+'Proposed Streams'!P27</f>
        <v>2050</v>
      </c>
      <c r="G37" s="12">
        <f t="shared" si="12"/>
        <v>2006.5</v>
      </c>
      <c r="H37" s="12">
        <f t="shared" ref="H37:H38" si="20">+(B37-1)/23*(2046-1947)+1947</f>
        <v>1998.6521739130435</v>
      </c>
      <c r="I37" s="12">
        <v>2006</v>
      </c>
      <c r="J37" s="12">
        <f t="shared" si="4"/>
        <v>161.97615457791215</v>
      </c>
      <c r="K37" t="s">
        <v>186</v>
      </c>
      <c r="L37">
        <v>30</v>
      </c>
      <c r="M37">
        <v>73</v>
      </c>
      <c r="N37" s="21">
        <f t="shared" si="5"/>
        <v>6246.0274083243548</v>
      </c>
      <c r="O37" s="21">
        <f t="shared" si="14"/>
        <v>6250</v>
      </c>
      <c r="P37" s="21">
        <f t="shared" si="7"/>
        <v>45.446134970181426</v>
      </c>
      <c r="Q37" s="21">
        <f t="shared" si="17"/>
        <v>278.45062376501124</v>
      </c>
      <c r="R37" s="21">
        <f t="shared" si="18"/>
        <v>139.22531188250562</v>
      </c>
      <c r="S37" s="21">
        <v>85</v>
      </c>
      <c r="T37" s="12">
        <f t="shared" si="11"/>
        <v>85.61643835616438</v>
      </c>
      <c r="V37">
        <v>6</v>
      </c>
      <c r="W37">
        <v>6</v>
      </c>
      <c r="X37">
        <f t="shared" si="0"/>
        <v>12.166666666666666</v>
      </c>
      <c r="Y37" t="str">
        <f t="shared" si="1"/>
        <v>B</v>
      </c>
      <c r="Z37">
        <v>0.35</v>
      </c>
      <c r="AA37">
        <f t="shared" si="2"/>
        <v>0.35</v>
      </c>
      <c r="AB37" s="25">
        <f t="shared" si="3"/>
        <v>0.03</v>
      </c>
      <c r="AD37" t="s">
        <v>409</v>
      </c>
      <c r="AE37" t="s">
        <v>331</v>
      </c>
    </row>
    <row r="38" spans="1:31" x14ac:dyDescent="0.25">
      <c r="A38">
        <v>37</v>
      </c>
      <c r="B38">
        <v>14</v>
      </c>
      <c r="C38" t="s">
        <v>233</v>
      </c>
      <c r="D38" t="s">
        <v>270</v>
      </c>
      <c r="E38" t="s">
        <v>271</v>
      </c>
      <c r="F38">
        <f>+'Proposed Streams'!P23</f>
        <v>2010</v>
      </c>
      <c r="G38" s="12">
        <f t="shared" si="12"/>
        <v>1992.5</v>
      </c>
      <c r="H38" s="12">
        <f t="shared" si="20"/>
        <v>2002.9565217391305</v>
      </c>
      <c r="I38" s="12">
        <v>1992</v>
      </c>
      <c r="J38" s="12">
        <f t="shared" si="4"/>
        <v>185.55241287036043</v>
      </c>
      <c r="K38" t="s">
        <v>243</v>
      </c>
      <c r="L38">
        <v>12</v>
      </c>
      <c r="M38">
        <v>151</v>
      </c>
      <c r="N38" s="21">
        <f t="shared" si="5"/>
        <v>9037.898176999679</v>
      </c>
      <c r="O38" s="21">
        <f t="shared" si="14"/>
        <v>9040</v>
      </c>
      <c r="P38" s="21">
        <f t="shared" si="7"/>
        <v>52.248462411842517</v>
      </c>
      <c r="Q38" s="21">
        <f t="shared" si="17"/>
        <v>172.01273580651824</v>
      </c>
      <c r="R38" s="21">
        <f>+Q38/2</f>
        <v>86.006367903259118</v>
      </c>
      <c r="S38" s="21">
        <v>60</v>
      </c>
      <c r="T38" s="12">
        <f t="shared" si="11"/>
        <v>59.867549668874169</v>
      </c>
      <c r="Z38">
        <v>0.4</v>
      </c>
      <c r="AA38" t="e">
        <f t="shared" si="2"/>
        <v>#DIV/0!</v>
      </c>
      <c r="AB38" s="25">
        <f t="shared" si="3"/>
        <v>2.7E-2</v>
      </c>
      <c r="AD38" t="s">
        <v>416</v>
      </c>
      <c r="AE38" t="s">
        <v>415</v>
      </c>
    </row>
    <row r="39" spans="1:31" x14ac:dyDescent="0.25">
      <c r="A39">
        <v>38</v>
      </c>
      <c r="C39" t="s">
        <v>234</v>
      </c>
      <c r="F39">
        <f>+'Proposed Streams'!P24</f>
        <v>2020</v>
      </c>
      <c r="G39" s="12">
        <f t="shared" si="12"/>
        <v>1996</v>
      </c>
      <c r="H39" s="12"/>
      <c r="I39" s="12"/>
      <c r="J39" s="12"/>
      <c r="K39" t="s">
        <v>243</v>
      </c>
      <c r="L39">
        <v>15</v>
      </c>
      <c r="N39" s="21"/>
      <c r="O39" s="21"/>
      <c r="P39" s="21"/>
      <c r="Q39" s="21"/>
      <c r="R39" s="21"/>
      <c r="S39" s="12"/>
      <c r="T39" s="12"/>
      <c r="Z39">
        <v>0.4</v>
      </c>
      <c r="AA39" t="e">
        <f t="shared" si="2"/>
        <v>#DIV/0!</v>
      </c>
      <c r="AB39" s="25" t="e">
        <f t="shared" si="3"/>
        <v>#DIV/0!</v>
      </c>
    </row>
    <row r="40" spans="1:31" x14ac:dyDescent="0.25">
      <c r="A40">
        <v>39</v>
      </c>
      <c r="C40" t="s">
        <v>235</v>
      </c>
      <c r="F40">
        <f>+'Proposed Streams'!P25</f>
        <v>2030</v>
      </c>
      <c r="G40" s="12">
        <f t="shared" si="12"/>
        <v>1999.5</v>
      </c>
      <c r="H40" s="12"/>
      <c r="I40" s="12"/>
      <c r="J40" s="12"/>
      <c r="K40" t="s">
        <v>243</v>
      </c>
      <c r="L40">
        <v>20</v>
      </c>
      <c r="N40" s="21"/>
      <c r="O40" s="21"/>
      <c r="P40" s="21"/>
      <c r="Q40" s="21"/>
      <c r="R40" s="21"/>
      <c r="S40" s="12"/>
      <c r="T40" s="12"/>
      <c r="Z40">
        <v>0.4</v>
      </c>
      <c r="AA40" t="e">
        <f t="shared" si="2"/>
        <v>#DIV/0!</v>
      </c>
      <c r="AB40" s="25" t="e">
        <f t="shared" si="3"/>
        <v>#DIV/0!</v>
      </c>
    </row>
    <row r="41" spans="1:31" x14ac:dyDescent="0.25">
      <c r="A41">
        <v>40</v>
      </c>
      <c r="B41">
        <v>15</v>
      </c>
      <c r="C41" t="s">
        <v>236</v>
      </c>
      <c r="D41" t="s">
        <v>262</v>
      </c>
      <c r="E41" t="s">
        <v>279</v>
      </c>
      <c r="F41">
        <f>+'Proposed Streams'!P26</f>
        <v>2040</v>
      </c>
      <c r="G41" s="12">
        <f t="shared" si="12"/>
        <v>2003</v>
      </c>
      <c r="H41" s="12">
        <f>+(B41-1)/23*(2046-1947)+1947</f>
        <v>2007.2608695652175</v>
      </c>
      <c r="I41" s="12">
        <v>2003</v>
      </c>
      <c r="J41" s="12">
        <f t="shared" si="4"/>
        <v>212.56028710973891</v>
      </c>
      <c r="K41" t="s">
        <v>243</v>
      </c>
      <c r="L41">
        <v>20</v>
      </c>
      <c r="M41">
        <v>111</v>
      </c>
      <c r="N41" s="21">
        <f t="shared" si="5"/>
        <v>8872.9533023555414</v>
      </c>
      <c r="O41" s="21">
        <f t="shared" si="14"/>
        <v>8870</v>
      </c>
      <c r="P41" s="21">
        <f t="shared" si="7"/>
        <v>59.57459417276214</v>
      </c>
      <c r="Q41" s="21">
        <f t="shared" si="17"/>
        <v>240.49037066866899</v>
      </c>
      <c r="R41" s="21">
        <f t="shared" ref="R39:R47" si="21">+Q41/2</f>
        <v>120.24518533433449</v>
      </c>
      <c r="S41" s="12">
        <f t="shared" ref="S40:S46" si="22">+(S$47-S$38)/(A$47-A$38)*(A41-A$38)+S$38</f>
        <v>80</v>
      </c>
      <c r="T41" s="12">
        <f t="shared" si="11"/>
        <v>79.909909909909913</v>
      </c>
      <c r="V41">
        <v>4</v>
      </c>
      <c r="W41">
        <v>4</v>
      </c>
      <c r="Z41">
        <v>0.4</v>
      </c>
      <c r="AA41">
        <f t="shared" si="2"/>
        <v>0.4</v>
      </c>
      <c r="AB41" s="25">
        <f t="shared" si="3"/>
        <v>2.3E-2</v>
      </c>
      <c r="AD41" t="s">
        <v>409</v>
      </c>
      <c r="AE41" t="s">
        <v>329</v>
      </c>
    </row>
    <row r="42" spans="1:31" x14ac:dyDescent="0.25">
      <c r="A42">
        <v>41</v>
      </c>
      <c r="C42" t="s">
        <v>237</v>
      </c>
      <c r="F42">
        <f>+'Proposed Streams'!P27</f>
        <v>2050</v>
      </c>
      <c r="G42" s="12">
        <f t="shared" si="12"/>
        <v>2006.5</v>
      </c>
      <c r="H42" s="12"/>
      <c r="I42" s="12"/>
      <c r="J42" s="12"/>
      <c r="K42" t="s">
        <v>243</v>
      </c>
      <c r="L42">
        <v>20</v>
      </c>
      <c r="N42" s="21"/>
      <c r="O42" s="21"/>
      <c r="P42" s="21"/>
      <c r="Q42" s="21"/>
      <c r="R42" s="21"/>
      <c r="S42" s="12"/>
      <c r="T42" s="12"/>
      <c r="Z42">
        <v>0.4</v>
      </c>
      <c r="AA42" t="e">
        <f t="shared" si="2"/>
        <v>#DIV/0!</v>
      </c>
      <c r="AB42" s="25" t="e">
        <f t="shared" si="3"/>
        <v>#DIV/0!</v>
      </c>
    </row>
    <row r="43" spans="1:31" x14ac:dyDescent="0.25">
      <c r="A43">
        <v>42</v>
      </c>
      <c r="C43" t="s">
        <v>238</v>
      </c>
      <c r="F43">
        <f>+'Proposed Streams'!P28</f>
        <v>2060</v>
      </c>
      <c r="G43" s="12">
        <f t="shared" si="12"/>
        <v>2010</v>
      </c>
      <c r="H43" s="12"/>
      <c r="I43" s="12"/>
      <c r="J43" s="12"/>
      <c r="K43" t="s">
        <v>243</v>
      </c>
      <c r="L43">
        <v>20</v>
      </c>
      <c r="N43" s="21"/>
      <c r="O43" s="21"/>
      <c r="P43" s="21"/>
      <c r="Q43" s="21"/>
      <c r="R43" s="21"/>
      <c r="S43" s="12"/>
      <c r="T43" s="12"/>
      <c r="Z43">
        <v>0.4</v>
      </c>
      <c r="AA43" t="e">
        <f t="shared" si="2"/>
        <v>#DIV/0!</v>
      </c>
      <c r="AB43" s="25" t="e">
        <f t="shared" si="3"/>
        <v>#DIV/0!</v>
      </c>
    </row>
    <row r="44" spans="1:31" x14ac:dyDescent="0.25">
      <c r="A44">
        <v>43</v>
      </c>
      <c r="B44">
        <v>16</v>
      </c>
      <c r="C44" t="s">
        <v>239</v>
      </c>
      <c r="D44" t="s">
        <v>274</v>
      </c>
      <c r="E44" t="s">
        <v>295</v>
      </c>
      <c r="F44">
        <f>+'Proposed Streams'!P29</f>
        <v>2070</v>
      </c>
      <c r="G44" s="12">
        <f t="shared" si="12"/>
        <v>2013.5</v>
      </c>
      <c r="H44" s="12">
        <f>+(B44-1)/23*(2046-1947)+1947</f>
        <v>2011.5652173913043</v>
      </c>
      <c r="I44" s="12">
        <v>2013</v>
      </c>
      <c r="J44" s="12">
        <f t="shared" si="4"/>
        <v>243.49926232294146</v>
      </c>
      <c r="K44" t="s">
        <v>243</v>
      </c>
      <c r="L44">
        <v>20</v>
      </c>
      <c r="M44">
        <v>95</v>
      </c>
      <c r="N44" s="21">
        <f t="shared" si="5"/>
        <v>9459.3760992633033</v>
      </c>
      <c r="O44" s="21">
        <f t="shared" ref="O44:O47" si="23">+ROUND(N44,-2)</f>
        <v>9500</v>
      </c>
      <c r="P44" s="21">
        <f t="shared" si="7"/>
        <v>67.355149186617368</v>
      </c>
      <c r="Q44" s="21">
        <f t="shared" si="17"/>
        <v>252.8973017145008</v>
      </c>
      <c r="R44" s="21">
        <f t="shared" si="21"/>
        <v>126.4486508572504</v>
      </c>
      <c r="S44" s="12">
        <f t="shared" si="22"/>
        <v>100</v>
      </c>
      <c r="T44" s="12">
        <f t="shared" si="11"/>
        <v>100</v>
      </c>
      <c r="V44">
        <v>4</v>
      </c>
      <c r="W44">
        <v>4</v>
      </c>
      <c r="Z44">
        <v>0.4</v>
      </c>
      <c r="AA44">
        <f t="shared" si="2"/>
        <v>0.4</v>
      </c>
      <c r="AB44" s="25">
        <f t="shared" si="3"/>
        <v>0.02</v>
      </c>
      <c r="AD44" t="s">
        <v>421</v>
      </c>
      <c r="AE44" t="s">
        <v>422</v>
      </c>
    </row>
    <row r="45" spans="1:31" x14ac:dyDescent="0.25">
      <c r="A45">
        <v>44</v>
      </c>
      <c r="C45" t="s">
        <v>240</v>
      </c>
      <c r="D45" t="s">
        <v>291</v>
      </c>
      <c r="E45" t="s">
        <v>309</v>
      </c>
      <c r="F45">
        <f>+'Proposed Streams'!P30</f>
        <v>2080</v>
      </c>
      <c r="G45" s="12">
        <f t="shared" si="12"/>
        <v>2017</v>
      </c>
      <c r="H45" s="12"/>
      <c r="I45" s="12"/>
      <c r="J45" s="12"/>
      <c r="K45" t="s">
        <v>243</v>
      </c>
      <c r="L45">
        <v>20</v>
      </c>
      <c r="N45" s="21"/>
      <c r="O45" s="21"/>
      <c r="P45" s="21"/>
      <c r="Q45" s="21"/>
      <c r="R45" s="21"/>
      <c r="S45" s="12"/>
      <c r="T45" s="12"/>
      <c r="Z45">
        <v>0.4</v>
      </c>
      <c r="AA45" t="e">
        <f t="shared" si="2"/>
        <v>#DIV/0!</v>
      </c>
      <c r="AB45" s="25" t="e">
        <f t="shared" si="3"/>
        <v>#DIV/0!</v>
      </c>
    </row>
    <row r="46" spans="1:31" x14ac:dyDescent="0.25">
      <c r="A46">
        <v>45</v>
      </c>
      <c r="C46" t="s">
        <v>241</v>
      </c>
      <c r="F46">
        <f>+'Proposed Streams'!P31</f>
        <v>2090</v>
      </c>
      <c r="G46" s="12">
        <f t="shared" si="12"/>
        <v>2020.5</v>
      </c>
      <c r="H46" s="12"/>
      <c r="I46" s="12"/>
      <c r="J46" s="12"/>
      <c r="K46" t="s">
        <v>243</v>
      </c>
      <c r="L46">
        <v>20</v>
      </c>
      <c r="N46" s="21"/>
      <c r="O46" s="21"/>
      <c r="P46" s="21"/>
      <c r="Q46" s="21"/>
      <c r="R46" s="21"/>
      <c r="S46" s="12"/>
      <c r="T46" s="12"/>
      <c r="Z46">
        <v>0.4</v>
      </c>
      <c r="AA46" t="e">
        <f t="shared" si="2"/>
        <v>#DIV/0!</v>
      </c>
      <c r="AB46" s="25" t="e">
        <f t="shared" si="3"/>
        <v>#DIV/0!</v>
      </c>
    </row>
    <row r="47" spans="1:31" x14ac:dyDescent="0.25">
      <c r="A47">
        <v>46</v>
      </c>
      <c r="B47">
        <v>17</v>
      </c>
      <c r="C47" t="s">
        <v>242</v>
      </c>
      <c r="D47" t="s">
        <v>262</v>
      </c>
      <c r="E47" t="s">
        <v>263</v>
      </c>
      <c r="F47">
        <f>+'Proposed Streams'!P32</f>
        <v>2100</v>
      </c>
      <c r="G47" s="12">
        <f t="shared" si="12"/>
        <v>2024</v>
      </c>
      <c r="H47" s="12">
        <f t="shared" ref="H47:H48" si="24">+(B47-1)/23*(2046-1947)+1947</f>
        <v>2015.8695652173913</v>
      </c>
      <c r="I47" s="12">
        <v>2024</v>
      </c>
      <c r="J47" s="12">
        <f t="shared" si="4"/>
        <v>278.9415255221495</v>
      </c>
      <c r="K47" t="s">
        <v>243</v>
      </c>
      <c r="L47">
        <v>30</v>
      </c>
      <c r="M47">
        <v>87</v>
      </c>
      <c r="N47" s="21">
        <f t="shared" si="5"/>
        <v>10399.705426917644</v>
      </c>
      <c r="O47" s="21">
        <f t="shared" si="23"/>
        <v>10400</v>
      </c>
      <c r="P47" s="21">
        <f t="shared" si="7"/>
        <v>75.465170614574731</v>
      </c>
      <c r="Q47" s="21">
        <f t="shared" si="17"/>
        <v>329.37910377061689</v>
      </c>
      <c r="R47" s="21">
        <f t="shared" si="21"/>
        <v>164.68955188530845</v>
      </c>
      <c r="S47" s="21">
        <v>120</v>
      </c>
      <c r="T47" s="12">
        <f t="shared" si="11"/>
        <v>119.54022988505747</v>
      </c>
      <c r="V47">
        <v>4</v>
      </c>
      <c r="W47">
        <v>4</v>
      </c>
      <c r="Z47">
        <v>0.4</v>
      </c>
      <c r="AA47">
        <f t="shared" si="2"/>
        <v>0.4</v>
      </c>
      <c r="AB47" s="25">
        <f t="shared" si="3"/>
        <v>1.7999999999999999E-2</v>
      </c>
      <c r="AD47" t="s">
        <v>409</v>
      </c>
      <c r="AE47" t="s">
        <v>332</v>
      </c>
    </row>
    <row r="48" spans="1:31" x14ac:dyDescent="0.25">
      <c r="A48">
        <v>47</v>
      </c>
      <c r="B48">
        <v>18</v>
      </c>
      <c r="C48" t="s">
        <v>244</v>
      </c>
      <c r="D48" t="s">
        <v>266</v>
      </c>
      <c r="E48" t="s">
        <v>259</v>
      </c>
      <c r="F48">
        <f>+'Proposed Streams'!P28</f>
        <v>2060</v>
      </c>
      <c r="G48" s="12">
        <f t="shared" si="12"/>
        <v>2010</v>
      </c>
      <c r="H48" s="12">
        <f t="shared" si="24"/>
        <v>2020.1739130434783</v>
      </c>
      <c r="I48" s="12">
        <v>2010</v>
      </c>
      <c r="J48" s="12">
        <f t="shared" si="4"/>
        <v>319.54254776111162</v>
      </c>
      <c r="K48" t="s">
        <v>188</v>
      </c>
      <c r="L48">
        <v>10</v>
      </c>
      <c r="M48">
        <v>148</v>
      </c>
      <c r="N48" s="21">
        <f t="shared" si="5"/>
        <v>13301.178547460016</v>
      </c>
      <c r="O48" s="21">
        <f t="shared" si="14"/>
        <v>13300</v>
      </c>
      <c r="P48" s="21">
        <f t="shared" si="7"/>
        <v>83.701834367460634</v>
      </c>
      <c r="Q48" s="21">
        <f>( -1366 + 94.66 * L48 + 12.42 * (J48*1.62))/2.5/14</f>
        <v>171.71211079921918</v>
      </c>
      <c r="R48" s="21">
        <f>+Q48/2</f>
        <v>85.856055399609588</v>
      </c>
      <c r="S48" s="21">
        <v>90</v>
      </c>
      <c r="T48" s="12">
        <f t="shared" si="11"/>
        <v>89.86486486486487</v>
      </c>
      <c r="AB48" s="25">
        <f t="shared" si="3"/>
        <v>1.4999999999999999E-2</v>
      </c>
      <c r="AD48" t="s">
        <v>435</v>
      </c>
      <c r="AE48" t="s">
        <v>436</v>
      </c>
    </row>
    <row r="49" spans="1:31" x14ac:dyDescent="0.25">
      <c r="A49">
        <v>48</v>
      </c>
      <c r="C49" t="s">
        <v>245</v>
      </c>
      <c r="D49" t="s">
        <v>262</v>
      </c>
      <c r="E49" t="s">
        <v>280</v>
      </c>
      <c r="F49">
        <f>+'Proposed Streams'!P29</f>
        <v>2070</v>
      </c>
      <c r="G49" s="12">
        <f t="shared" si="12"/>
        <v>2013.5</v>
      </c>
      <c r="H49" s="12"/>
      <c r="I49" s="12"/>
      <c r="J49" s="12"/>
      <c r="K49" t="s">
        <v>188</v>
      </c>
      <c r="L49">
        <v>15</v>
      </c>
      <c r="N49" s="21"/>
      <c r="O49" s="21"/>
      <c r="P49" s="21"/>
      <c r="Q49" s="21"/>
      <c r="R49" s="21"/>
      <c r="S49" s="12"/>
      <c r="T49" s="12"/>
      <c r="AB49" s="25" t="e">
        <f t="shared" si="3"/>
        <v>#DIV/0!</v>
      </c>
    </row>
    <row r="50" spans="1:31" x14ac:dyDescent="0.25">
      <c r="A50">
        <v>49</v>
      </c>
      <c r="B50">
        <v>19</v>
      </c>
      <c r="C50" t="s">
        <v>246</v>
      </c>
      <c r="D50" t="s">
        <v>291</v>
      </c>
      <c r="E50" t="s">
        <v>296</v>
      </c>
      <c r="F50">
        <f>+'Proposed Streams'!P30</f>
        <v>2080</v>
      </c>
      <c r="G50" s="12">
        <f t="shared" si="12"/>
        <v>2017</v>
      </c>
      <c r="H50" s="12">
        <f t="shared" ref="H50:H51" si="25">+(B50-1)/23*(2046-1947)+1947</f>
        <v>2024.4782608695652</v>
      </c>
      <c r="I50" s="12">
        <v>2017</v>
      </c>
      <c r="J50" s="12">
        <f t="shared" si="4"/>
        <v>366.05320645080917</v>
      </c>
      <c r="K50" t="s">
        <v>188</v>
      </c>
      <c r="L50">
        <v>20</v>
      </c>
      <c r="M50">
        <v>133</v>
      </c>
      <c r="N50" s="21">
        <f t="shared" si="5"/>
        <v>14418.12388900622</v>
      </c>
      <c r="O50" s="21">
        <f t="shared" ref="O50:O58" si="26">+ROUND(N50,-2)</f>
        <v>14400</v>
      </c>
      <c r="P50" s="21">
        <f t="shared" si="7"/>
        <v>91.754477756592522</v>
      </c>
      <c r="Q50" s="21">
        <f t="shared" ref="Q49:Q58" si="27">( -1366 + 94.66 * L50 + 12.42 * (J50*1.62))/2.5/14</f>
        <v>225.49534100208172</v>
      </c>
      <c r="R50" s="21">
        <f t="shared" ref="R49:R58" si="28">+Q50/2</f>
        <v>112.74767050104086</v>
      </c>
      <c r="S50" s="12">
        <f t="shared" ref="S50:S57" si="29">+(S$58-S$48)/(A$58-A$48)*(A50-A$48)+S$48</f>
        <v>108</v>
      </c>
      <c r="T50" s="12">
        <f t="shared" si="11"/>
        <v>108.27067669172932</v>
      </c>
      <c r="AB50" s="25">
        <f t="shared" si="3"/>
        <v>1.2999999999999999E-2</v>
      </c>
      <c r="AD50" t="s">
        <v>424</v>
      </c>
      <c r="AE50" t="s">
        <v>423</v>
      </c>
    </row>
    <row r="51" spans="1:31" x14ac:dyDescent="0.25">
      <c r="A51">
        <v>50</v>
      </c>
      <c r="B51">
        <v>20</v>
      </c>
      <c r="C51" t="s">
        <v>247</v>
      </c>
      <c r="D51" t="s">
        <v>274</v>
      </c>
      <c r="E51" t="s">
        <v>297</v>
      </c>
      <c r="F51">
        <f>+'Proposed Streams'!P31</f>
        <v>2090</v>
      </c>
      <c r="G51" s="12">
        <f t="shared" si="12"/>
        <v>2020.5</v>
      </c>
      <c r="H51" s="12">
        <f t="shared" si="25"/>
        <v>2028.7826086956522</v>
      </c>
      <c r="I51" s="12">
        <v>2023</v>
      </c>
      <c r="J51" s="12">
        <f t="shared" si="4"/>
        <v>419.33367212522728</v>
      </c>
      <c r="K51" t="s">
        <v>188</v>
      </c>
      <c r="L51">
        <v>20</v>
      </c>
      <c r="M51">
        <v>139</v>
      </c>
      <c r="N51" s="21">
        <f t="shared" si="5"/>
        <v>16300.410976857363</v>
      </c>
      <c r="O51" s="21">
        <f t="shared" si="26"/>
        <v>16300</v>
      </c>
      <c r="P51" s="21">
        <f t="shared" si="7"/>
        <v>99.164445334362441</v>
      </c>
      <c r="Q51" s="21">
        <f t="shared" si="27"/>
        <v>256.12460618938348</v>
      </c>
      <c r="R51" s="21">
        <f t="shared" si="28"/>
        <v>128.06230309469174</v>
      </c>
      <c r="S51" s="12">
        <f t="shared" si="29"/>
        <v>117</v>
      </c>
      <c r="T51" s="12">
        <f t="shared" si="11"/>
        <v>117.26618705035972</v>
      </c>
      <c r="V51">
        <v>5</v>
      </c>
      <c r="W51">
        <v>5</v>
      </c>
      <c r="AB51" s="25">
        <f t="shared" si="3"/>
        <v>1.2E-2</v>
      </c>
      <c r="AD51" t="s">
        <v>409</v>
      </c>
      <c r="AE51" t="s">
        <v>333</v>
      </c>
    </row>
    <row r="52" spans="1:31" x14ac:dyDescent="0.25">
      <c r="A52">
        <v>51</v>
      </c>
      <c r="C52" t="s">
        <v>248</v>
      </c>
      <c r="F52">
        <f>+'Proposed Streams'!P32</f>
        <v>2100</v>
      </c>
      <c r="G52" s="12">
        <f t="shared" si="12"/>
        <v>2024</v>
      </c>
      <c r="H52" s="12"/>
      <c r="I52" s="12"/>
      <c r="J52" s="12"/>
      <c r="K52" t="s">
        <v>188</v>
      </c>
      <c r="L52">
        <v>20</v>
      </c>
      <c r="N52" s="21"/>
      <c r="O52" s="21"/>
      <c r="P52" s="21"/>
      <c r="Q52" s="21"/>
      <c r="R52" s="21"/>
      <c r="S52" s="12"/>
      <c r="T52" s="12"/>
      <c r="AB52" s="25" t="e">
        <f t="shared" si="3"/>
        <v>#DIV/0!</v>
      </c>
    </row>
    <row r="53" spans="1:31" x14ac:dyDescent="0.25">
      <c r="A53">
        <v>52</v>
      </c>
      <c r="C53" t="s">
        <v>249</v>
      </c>
      <c r="F53">
        <f>+'Proposed Streams'!P33</f>
        <v>2110</v>
      </c>
      <c r="G53" s="12">
        <f t="shared" si="12"/>
        <v>2027.5</v>
      </c>
      <c r="H53" s="12"/>
      <c r="I53" s="12"/>
      <c r="J53" s="12"/>
      <c r="K53" t="s">
        <v>188</v>
      </c>
      <c r="L53">
        <v>20</v>
      </c>
      <c r="N53" s="21"/>
      <c r="O53" s="21"/>
      <c r="P53" s="21"/>
      <c r="Q53" s="21"/>
      <c r="R53" s="21"/>
      <c r="S53" s="12"/>
      <c r="T53" s="12"/>
      <c r="AB53" s="25" t="e">
        <f t="shared" si="3"/>
        <v>#DIV/0!</v>
      </c>
    </row>
    <row r="54" spans="1:31" x14ac:dyDescent="0.25">
      <c r="A54">
        <v>53</v>
      </c>
      <c r="B54">
        <v>21</v>
      </c>
      <c r="C54" t="s">
        <v>250</v>
      </c>
      <c r="D54" t="s">
        <v>274</v>
      </c>
      <c r="E54" t="s">
        <v>311</v>
      </c>
      <c r="F54">
        <f>+'Proposed Streams'!P34</f>
        <v>2120</v>
      </c>
      <c r="G54" s="12">
        <f t="shared" si="12"/>
        <v>2031</v>
      </c>
      <c r="H54" s="12">
        <f>+(B54-1)/23*(2046-1947)+1947</f>
        <v>2033.086956521739</v>
      </c>
      <c r="I54" s="12">
        <v>2031</v>
      </c>
      <c r="J54" s="12">
        <f t="shared" si="4"/>
        <v>480.36931647983636</v>
      </c>
      <c r="K54" t="s">
        <v>188</v>
      </c>
      <c r="L54">
        <v>20</v>
      </c>
      <c r="M54">
        <v>124</v>
      </c>
      <c r="N54" s="21">
        <f t="shared" si="5"/>
        <v>17887.965853946698</v>
      </c>
      <c r="O54" s="21">
        <f t="shared" si="26"/>
        <v>17900</v>
      </c>
      <c r="P54" s="21">
        <f t="shared" si="7"/>
        <v>105.27145211400507</v>
      </c>
      <c r="Q54" s="21">
        <f t="shared" si="27"/>
        <v>291.21207986574001</v>
      </c>
      <c r="R54" s="21">
        <f t="shared" si="28"/>
        <v>145.60603993287</v>
      </c>
      <c r="S54" s="12">
        <f t="shared" si="29"/>
        <v>144</v>
      </c>
      <c r="T54" s="12">
        <f t="shared" si="11"/>
        <v>144.35483870967741</v>
      </c>
      <c r="AB54" s="25">
        <f t="shared" si="3"/>
        <v>0.01</v>
      </c>
      <c r="AD54" t="s">
        <v>428</v>
      </c>
      <c r="AE54" t="s">
        <v>433</v>
      </c>
    </row>
    <row r="55" spans="1:31" x14ac:dyDescent="0.25">
      <c r="A55">
        <v>54</v>
      </c>
      <c r="C55" t="s">
        <v>251</v>
      </c>
      <c r="D55" t="s">
        <v>267</v>
      </c>
      <c r="E55" t="s">
        <v>264</v>
      </c>
      <c r="F55">
        <f>+'Proposed Streams'!P35</f>
        <v>2130</v>
      </c>
      <c r="G55" s="12">
        <f t="shared" si="12"/>
        <v>2034.5</v>
      </c>
      <c r="H55" s="12"/>
      <c r="I55" s="12"/>
      <c r="J55" s="12"/>
      <c r="K55" t="s">
        <v>188</v>
      </c>
      <c r="L55">
        <v>20</v>
      </c>
      <c r="N55" s="21"/>
      <c r="O55" s="21"/>
      <c r="P55" s="21"/>
      <c r="Q55" s="21"/>
      <c r="R55" s="21"/>
      <c r="S55" s="12"/>
      <c r="T55" s="12"/>
      <c r="AB55" s="25" t="e">
        <f t="shared" si="3"/>
        <v>#DIV/0!</v>
      </c>
    </row>
    <row r="56" spans="1:31" x14ac:dyDescent="0.25">
      <c r="A56">
        <v>55</v>
      </c>
      <c r="B56">
        <v>22</v>
      </c>
      <c r="C56" t="s">
        <v>252</v>
      </c>
      <c r="D56" t="s">
        <v>266</v>
      </c>
      <c r="E56" t="s">
        <v>260</v>
      </c>
      <c r="F56">
        <f>+'Proposed Streams'!P36</f>
        <v>2140</v>
      </c>
      <c r="G56" s="12">
        <f t="shared" si="12"/>
        <v>2038</v>
      </c>
      <c r="H56" s="12">
        <f t="shared" ref="H56:H58" si="30">+(B56-1)/23*(2046-1947)+1947</f>
        <v>2037.391304347826</v>
      </c>
      <c r="I56" s="12">
        <v>2038</v>
      </c>
      <c r="J56" s="12">
        <f t="shared" si="4"/>
        <v>550.28893588682274</v>
      </c>
      <c r="K56" t="s">
        <v>188</v>
      </c>
      <c r="L56">
        <v>20</v>
      </c>
      <c r="M56">
        <v>125</v>
      </c>
      <c r="N56" s="21">
        <f t="shared" si="5"/>
        <v>20179.361522733059</v>
      </c>
      <c r="O56" s="21">
        <f t="shared" si="26"/>
        <v>20200</v>
      </c>
      <c r="P56" s="21">
        <f t="shared" si="7"/>
        <v>109.14211641301982</v>
      </c>
      <c r="Q56" s="21">
        <f t="shared" si="27"/>
        <v>331.40667158906371</v>
      </c>
      <c r="R56" s="21">
        <f t="shared" si="28"/>
        <v>165.70333579453185</v>
      </c>
      <c r="S56" s="12">
        <f t="shared" si="29"/>
        <v>162</v>
      </c>
      <c r="T56" s="12">
        <f t="shared" si="11"/>
        <v>161.6</v>
      </c>
      <c r="AB56" s="25">
        <f t="shared" si="3"/>
        <v>8.9999999999999993E-3</v>
      </c>
      <c r="AD56" t="s">
        <v>437</v>
      </c>
      <c r="AE56" t="s">
        <v>438</v>
      </c>
    </row>
    <row r="57" spans="1:31" x14ac:dyDescent="0.25">
      <c r="A57">
        <v>56</v>
      </c>
      <c r="B57">
        <v>23</v>
      </c>
      <c r="C57" t="s">
        <v>253</v>
      </c>
      <c r="D57" t="s">
        <v>266</v>
      </c>
      <c r="E57" t="s">
        <v>258</v>
      </c>
      <c r="F57">
        <f>+'Proposed Streams'!P37</f>
        <v>2150</v>
      </c>
      <c r="G57" s="12">
        <f t="shared" si="12"/>
        <v>2041.5</v>
      </c>
      <c r="H57" s="12">
        <f t="shared" si="30"/>
        <v>2041.695652173913</v>
      </c>
      <c r="I57" s="12">
        <v>2041</v>
      </c>
      <c r="J57" s="12">
        <f t="shared" si="4"/>
        <v>630.38562741374142</v>
      </c>
      <c r="K57" t="s">
        <v>188</v>
      </c>
      <c r="L57">
        <v>30</v>
      </c>
      <c r="M57">
        <v>134</v>
      </c>
      <c r="N57" s="21">
        <f t="shared" si="5"/>
        <v>23008.494328205223</v>
      </c>
      <c r="O57" s="21">
        <f t="shared" si="26"/>
        <v>23000</v>
      </c>
      <c r="P57" s="21">
        <f t="shared" si="7"/>
        <v>109.47493681546499</v>
      </c>
      <c r="Q57" s="21">
        <f t="shared" si="27"/>
        <v>404.49745650901269</v>
      </c>
      <c r="R57" s="21">
        <f t="shared" si="28"/>
        <v>202.24872825450635</v>
      </c>
      <c r="S57" s="12">
        <f t="shared" si="29"/>
        <v>171</v>
      </c>
      <c r="T57" s="12">
        <f t="shared" si="11"/>
        <v>171.64179104477611</v>
      </c>
      <c r="AB57" s="25">
        <f t="shared" si="3"/>
        <v>8.0000000000000002E-3</v>
      </c>
      <c r="AD57" t="s">
        <v>434</v>
      </c>
      <c r="AE57" t="s">
        <v>431</v>
      </c>
    </row>
    <row r="58" spans="1:31" x14ac:dyDescent="0.25">
      <c r="A58">
        <v>57</v>
      </c>
      <c r="B58">
        <v>24</v>
      </c>
      <c r="C58" t="s">
        <v>254</v>
      </c>
      <c r="D58" t="s">
        <v>266</v>
      </c>
      <c r="E58" t="s">
        <v>255</v>
      </c>
      <c r="F58">
        <f>+'Proposed Streams'!P38</f>
        <v>2160</v>
      </c>
      <c r="G58">
        <v>2045</v>
      </c>
      <c r="H58" s="12">
        <f t="shared" si="30"/>
        <v>2046</v>
      </c>
      <c r="I58">
        <v>2045</v>
      </c>
      <c r="J58" s="28">
        <v>756</v>
      </c>
      <c r="K58" t="s">
        <v>188</v>
      </c>
      <c r="L58">
        <v>30</v>
      </c>
      <c r="M58">
        <v>153</v>
      </c>
      <c r="N58" s="21">
        <f t="shared" si="5"/>
        <v>27572.400000000001</v>
      </c>
      <c r="O58" s="21">
        <f t="shared" si="26"/>
        <v>27600</v>
      </c>
      <c r="P58" s="21">
        <f t="shared" si="7"/>
        <v>101.17709886656428</v>
      </c>
      <c r="Q58" s="21">
        <f t="shared" si="27"/>
        <v>476.70921142857145</v>
      </c>
      <c r="R58" s="21">
        <f t="shared" si="28"/>
        <v>238.35460571428573</v>
      </c>
      <c r="S58" s="21">
        <v>180</v>
      </c>
      <c r="T58" s="12">
        <f t="shared" si="11"/>
        <v>180.39215686274511</v>
      </c>
      <c r="AB58" s="25">
        <f t="shared" si="3"/>
        <v>7.0000000000000001E-3</v>
      </c>
      <c r="AD58" t="s">
        <v>430</v>
      </c>
      <c r="AE58" t="s">
        <v>429</v>
      </c>
    </row>
    <row r="62" spans="1:31" x14ac:dyDescent="0.25">
      <c r="E62" t="s">
        <v>298</v>
      </c>
    </row>
    <row r="63" spans="1:31" x14ac:dyDescent="0.25">
      <c r="E63" t="s">
        <v>299</v>
      </c>
    </row>
    <row r="64" spans="1:31" x14ac:dyDescent="0.25">
      <c r="E64" t="s">
        <v>300</v>
      </c>
    </row>
    <row r="65" spans="5:5" x14ac:dyDescent="0.25">
      <c r="E65" t="s">
        <v>301</v>
      </c>
    </row>
    <row r="66" spans="5:5" x14ac:dyDescent="0.25">
      <c r="E66" t="s">
        <v>302</v>
      </c>
    </row>
    <row r="67" spans="5:5" x14ac:dyDescent="0.25">
      <c r="E67" t="s">
        <v>303</v>
      </c>
    </row>
    <row r="68" spans="5:5" x14ac:dyDescent="0.25">
      <c r="E68" t="s">
        <v>304</v>
      </c>
    </row>
    <row r="69" spans="5:5" x14ac:dyDescent="0.25">
      <c r="E69" t="s">
        <v>305</v>
      </c>
    </row>
    <row r="70" spans="5:5" x14ac:dyDescent="0.25">
      <c r="E70" t="s">
        <v>306</v>
      </c>
    </row>
    <row r="71" spans="5:5" x14ac:dyDescent="0.25">
      <c r="E71" t="s">
        <v>307</v>
      </c>
    </row>
    <row r="72" spans="5:5" x14ac:dyDescent="0.25">
      <c r="E72" t="s">
        <v>308</v>
      </c>
    </row>
    <row r="73" spans="5:5" x14ac:dyDescent="0.25">
      <c r="E73" t="s">
        <v>310</v>
      </c>
    </row>
    <row r="74" spans="5:5" x14ac:dyDescent="0.25">
      <c r="E74" t="s">
        <v>312</v>
      </c>
    </row>
    <row r="75" spans="5:5" x14ac:dyDescent="0.25">
      <c r="E75" t="s">
        <v>400</v>
      </c>
    </row>
    <row r="76" spans="5:5" x14ac:dyDescent="0.25">
      <c r="E76" t="s">
        <v>401</v>
      </c>
    </row>
    <row r="77" spans="5:5" x14ac:dyDescent="0.25">
      <c r="E77" t="s">
        <v>402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3"/>
  <sheetViews>
    <sheetView topLeftCell="A7" workbookViewId="0">
      <selection activeCell="C44" sqref="C44"/>
    </sheetView>
  </sheetViews>
  <sheetFormatPr defaultRowHeight="15" x14ac:dyDescent="0.25"/>
  <cols>
    <col min="3" max="3" width="12" bestFit="1" customWidth="1"/>
    <col min="7" max="7" width="10.5703125" bestFit="1" customWidth="1"/>
  </cols>
  <sheetData>
    <row r="1" spans="1:4" x14ac:dyDescent="0.25">
      <c r="A1" t="s">
        <v>281</v>
      </c>
    </row>
    <row r="2" spans="1:4" x14ac:dyDescent="0.25">
      <c r="A2" t="s">
        <v>288</v>
      </c>
      <c r="D2" t="s">
        <v>289</v>
      </c>
    </row>
    <row r="3" spans="1:4" x14ac:dyDescent="0.25">
      <c r="A3" t="s">
        <v>290</v>
      </c>
    </row>
    <row r="6" spans="1:4" x14ac:dyDescent="0.25">
      <c r="A6" t="s">
        <v>319</v>
      </c>
    </row>
    <row r="7" spans="1:4" x14ac:dyDescent="0.25">
      <c r="A7" t="s">
        <v>320</v>
      </c>
    </row>
    <row r="8" spans="1:4" x14ac:dyDescent="0.25">
      <c r="A8" t="s">
        <v>321</v>
      </c>
    </row>
    <row r="10" spans="1:4" x14ac:dyDescent="0.25">
      <c r="A10" t="s">
        <v>403</v>
      </c>
    </row>
    <row r="11" spans="1:4" x14ac:dyDescent="0.25">
      <c r="A11" t="s">
        <v>404</v>
      </c>
    </row>
    <row r="14" spans="1:4" x14ac:dyDescent="0.25">
      <c r="A14" t="s">
        <v>410</v>
      </c>
    </row>
    <row r="17" spans="1:8" x14ac:dyDescent="0.25">
      <c r="A17" t="s">
        <v>386</v>
      </c>
    </row>
    <row r="18" spans="1:8" x14ac:dyDescent="0.25">
      <c r="B18" t="s">
        <v>387</v>
      </c>
    </row>
    <row r="19" spans="1:8" x14ac:dyDescent="0.25">
      <c r="B19" t="s">
        <v>388</v>
      </c>
    </row>
    <row r="20" spans="1:8" x14ac:dyDescent="0.25">
      <c r="B20" t="s">
        <v>389</v>
      </c>
    </row>
    <row r="21" spans="1:8" x14ac:dyDescent="0.25">
      <c r="B21" t="s">
        <v>390</v>
      </c>
    </row>
    <row r="22" spans="1:8" x14ac:dyDescent="0.25">
      <c r="A22" s="23" t="s">
        <v>391</v>
      </c>
    </row>
    <row r="23" spans="1:8" x14ac:dyDescent="0.25">
      <c r="A23" t="s">
        <v>392</v>
      </c>
    </row>
    <row r="24" spans="1:8" x14ac:dyDescent="0.25">
      <c r="B24" t="s">
        <v>393</v>
      </c>
    </row>
    <row r="25" spans="1:8" x14ac:dyDescent="0.25">
      <c r="A25" t="s">
        <v>411</v>
      </c>
    </row>
    <row r="27" spans="1:8" x14ac:dyDescent="0.25">
      <c r="B27" t="s">
        <v>394</v>
      </c>
      <c r="C27" t="s">
        <v>395</v>
      </c>
      <c r="D27" t="s">
        <v>396</v>
      </c>
      <c r="E27" t="s">
        <v>179</v>
      </c>
      <c r="F27" t="s">
        <v>398</v>
      </c>
      <c r="G27" t="s">
        <v>399</v>
      </c>
      <c r="H27" t="s">
        <v>397</v>
      </c>
    </row>
    <row r="28" spans="1:8" x14ac:dyDescent="0.25">
      <c r="B28">
        <v>103</v>
      </c>
      <c r="C28">
        <v>750</v>
      </c>
      <c r="D28">
        <v>0.3</v>
      </c>
      <c r="E28">
        <f>+B28*D28*10</f>
        <v>309</v>
      </c>
      <c r="F28" s="21">
        <f>+E28*224.8089431</f>
        <v>69465.963417899999</v>
      </c>
      <c r="G28" s="21"/>
      <c r="H28">
        <f>+(C28*550/(E28*224.8089431))/1.47</f>
        <v>4.0395645736578238</v>
      </c>
    </row>
    <row r="29" spans="1:8" x14ac:dyDescent="0.25">
      <c r="C29">
        <f>+H29*1.47*E29*224.8089431/550</f>
        <v>9840.1694725247071</v>
      </c>
      <c r="E29">
        <v>309</v>
      </c>
      <c r="F29" s="21">
        <f t="shared" ref="F29:F30" si="0">+E29*224.8089431</f>
        <v>69465.963417899999</v>
      </c>
      <c r="G29" s="21"/>
      <c r="H29">
        <v>53</v>
      </c>
    </row>
    <row r="30" spans="1:8" x14ac:dyDescent="0.25">
      <c r="C30">
        <v>750</v>
      </c>
      <c r="E30">
        <v>309</v>
      </c>
      <c r="F30" s="21">
        <f t="shared" si="0"/>
        <v>69465.963417899999</v>
      </c>
      <c r="G30" s="21"/>
      <c r="H30">
        <f>375*C30/F30</f>
        <v>4.048745402234319</v>
      </c>
    </row>
    <row r="31" spans="1:8" x14ac:dyDescent="0.25">
      <c r="C31">
        <v>750</v>
      </c>
      <c r="E31">
        <v>309</v>
      </c>
      <c r="F31" s="21">
        <v>69000</v>
      </c>
      <c r="G31" s="26">
        <f>550*C31/F31</f>
        <v>5.9782608695652177</v>
      </c>
    </row>
    <row r="32" spans="1:8" x14ac:dyDescent="0.25">
      <c r="B32">
        <v>103</v>
      </c>
      <c r="C32">
        <v>750</v>
      </c>
      <c r="F32" s="21">
        <f>+B32*8</f>
        <v>824</v>
      </c>
      <c r="G32" s="26"/>
      <c r="H32">
        <f>375*C32/F32</f>
        <v>341.32281553398059</v>
      </c>
    </row>
    <row r="33" spans="1:8" x14ac:dyDescent="0.25">
      <c r="C33">
        <v>6000</v>
      </c>
      <c r="F33" s="21">
        <v>133375</v>
      </c>
      <c r="G33" s="26">
        <f t="shared" ref="G33" si="1">550*C33/F33</f>
        <v>24.742268041237114</v>
      </c>
      <c r="H33">
        <f>375*C33/F33</f>
        <v>16.869728209934397</v>
      </c>
    </row>
    <row r="36" spans="1:8" x14ac:dyDescent="0.25">
      <c r="A36" t="s">
        <v>439</v>
      </c>
    </row>
    <row r="37" spans="1:8" x14ac:dyDescent="0.25">
      <c r="B37" t="s">
        <v>440</v>
      </c>
    </row>
    <row r="38" spans="1:8" x14ac:dyDescent="0.25">
      <c r="B38" t="s">
        <v>441</v>
      </c>
    </row>
    <row r="39" spans="1:8" x14ac:dyDescent="0.25">
      <c r="B39" s="20" t="s">
        <v>442</v>
      </c>
    </row>
    <row r="40" spans="1:8" x14ac:dyDescent="0.25">
      <c r="C40" t="s">
        <v>443</v>
      </c>
    </row>
    <row r="41" spans="1:8" x14ac:dyDescent="0.25">
      <c r="C41" t="s">
        <v>444</v>
      </c>
    </row>
    <row r="42" spans="1:8" x14ac:dyDescent="0.25">
      <c r="B42" s="20" t="s">
        <v>445</v>
      </c>
    </row>
    <row r="43" spans="1:8" x14ac:dyDescent="0.25">
      <c r="C43" s="20" t="s">
        <v>452</v>
      </c>
    </row>
  </sheetData>
  <hyperlinks>
    <hyperlink ref="A22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Existing</vt:lpstr>
      <vt:lpstr>Existing Graphed</vt:lpstr>
      <vt:lpstr>Proposed Streams</vt:lpstr>
      <vt:lpstr>Proposed Stats</vt:lpstr>
      <vt:lpstr>Proposed Stats v2</vt:lpstr>
      <vt:lpstr>Notes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William</dc:creator>
  <cp:lastModifiedBy>William</cp:lastModifiedBy>
  <dcterms:created xsi:type="dcterms:W3CDTF">2013-02-11T19:22:59Z</dcterms:created>
  <dcterms:modified xsi:type="dcterms:W3CDTF">2013-12-02T05:01:20Z</dcterms:modified>
</cp:coreProperties>
</file>